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ONTROL INTERNO\Desktop\INFORMES CONTROL INTERNO\"/>
    </mc:Choice>
  </mc:AlternateContent>
  <bookViews>
    <workbookView xWindow="0" yWindow="0" windowWidth="7470" windowHeight="1860" activeTab="3"/>
  </bookViews>
  <sheets>
    <sheet name="Instructivo" sheetId="2" r:id="rId1"/>
    <sheet name="Estado SCI" sheetId="1" r:id="rId2"/>
    <sheet name="Análisis Resultados" sheetId="3" r:id="rId3"/>
    <sheet name="Conclusión" sheetId="5" r:id="rId4"/>
    <sheet name="Hoja1" sheetId="6" state="hidden" r:id="rId5"/>
  </sheets>
  <externalReferences>
    <externalReference r:id="rId6"/>
  </externalReferences>
  <definedNames>
    <definedName name="_xlnm._FilterDatabase" localSheetId="4" hidden="1">Hoja1!$A$1:$K$45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9" i="1" l="1"/>
  <c r="J58" i="1"/>
  <c r="J57" i="1"/>
  <c r="J56" i="1"/>
  <c r="J55" i="1"/>
  <c r="J54" i="1"/>
  <c r="J53" i="1"/>
  <c r="J52" i="1"/>
  <c r="J51" i="1"/>
  <c r="J5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A59" i="1" l="1"/>
  <c r="A58" i="1"/>
  <c r="A57" i="1"/>
  <c r="A56" i="1"/>
  <c r="A55" i="1"/>
  <c r="A54" i="1"/>
  <c r="A53" i="1"/>
  <c r="A52" i="1"/>
  <c r="A51" i="1"/>
  <c r="A50" i="1"/>
  <c r="A49" i="1"/>
  <c r="A48" i="1"/>
  <c r="A47" i="1"/>
  <c r="A46" i="1"/>
  <c r="A45" i="1"/>
  <c r="A44" i="1"/>
  <c r="A43" i="1"/>
  <c r="A42" i="1"/>
  <c r="A41" i="1"/>
  <c r="A40" i="1"/>
  <c r="A39" i="1"/>
  <c r="J37" i="1"/>
  <c r="L37" i="1" s="1"/>
  <c r="J36" i="1"/>
  <c r="L36" i="1" s="1"/>
  <c r="J35" i="1"/>
  <c r="L35" i="1" s="1"/>
  <c r="J34" i="1"/>
  <c r="L34" i="1" s="1"/>
  <c r="J33" i="1"/>
  <c r="L33" i="1" s="1"/>
  <c r="J32" i="1"/>
  <c r="L32" i="1" s="1"/>
  <c r="A38" i="1"/>
  <c r="A37" i="1"/>
  <c r="A36" i="1"/>
  <c r="A35" i="1"/>
  <c r="A34" i="1"/>
  <c r="A33" i="1"/>
  <c r="A32" i="1"/>
  <c r="L59" i="1"/>
  <c r="L58" i="1"/>
  <c r="L57" i="1"/>
  <c r="L56" i="1"/>
  <c r="L55" i="1"/>
  <c r="L54" i="1"/>
  <c r="L53" i="1"/>
  <c r="L52" i="1"/>
  <c r="L51" i="1"/>
  <c r="L50" i="1"/>
  <c r="J49" i="1"/>
  <c r="L49" i="1" s="1"/>
  <c r="J48" i="1"/>
  <c r="L48" i="1" s="1"/>
  <c r="J47" i="1"/>
  <c r="L47" i="1" s="1"/>
  <c r="J46" i="1"/>
  <c r="L46" i="1" s="1"/>
  <c r="J45" i="1"/>
  <c r="L45" i="1" s="1"/>
  <c r="J44" i="1"/>
  <c r="L44" i="1" s="1"/>
  <c r="J43" i="1"/>
  <c r="L43" i="1" s="1"/>
  <c r="J42" i="1"/>
  <c r="L42" i="1" s="1"/>
  <c r="J41" i="1"/>
  <c r="L41" i="1" s="1"/>
  <c r="J40" i="1"/>
  <c r="L40" i="1" s="1"/>
  <c r="J39" i="1"/>
  <c r="L39" i="1" s="1"/>
  <c r="J38" i="1"/>
  <c r="L38" i="1" s="1"/>
  <c r="J31" i="1"/>
  <c r="L31" i="1" s="1"/>
  <c r="J30" i="1"/>
  <c r="L30" i="1" s="1"/>
  <c r="J29" i="1"/>
  <c r="L29" i="1" s="1"/>
  <c r="J28" i="1"/>
  <c r="L28" i="1" s="1"/>
  <c r="J27" i="1"/>
  <c r="L27" i="1" s="1"/>
  <c r="J26" i="1"/>
  <c r="L26" i="1" s="1"/>
  <c r="J25" i="1"/>
  <c r="L25" i="1" s="1"/>
  <c r="J24" i="1"/>
  <c r="L24" i="1" s="1"/>
  <c r="J23" i="1"/>
  <c r="L23" i="1" s="1"/>
  <c r="J22" i="1"/>
  <c r="L22" i="1" s="1"/>
  <c r="J21" i="1"/>
  <c r="L21" i="1" s="1"/>
  <c r="J20" i="1"/>
  <c r="L20" i="1" s="1"/>
  <c r="J19" i="1"/>
  <c r="L19" i="1" s="1"/>
  <c r="J18" i="1"/>
  <c r="L18" i="1" s="1"/>
  <c r="J17" i="1"/>
  <c r="L17" i="1" s="1"/>
  <c r="J16" i="1"/>
  <c r="L16" i="1" s="1"/>
  <c r="A31" i="1" l="1"/>
  <c r="A30" i="1"/>
  <c r="A29" i="1"/>
  <c r="A28" i="1"/>
  <c r="A27" i="1"/>
  <c r="A26" i="1"/>
  <c r="A25" i="1"/>
  <c r="A24" i="1"/>
  <c r="A23" i="1"/>
  <c r="A22" i="1"/>
  <c r="A21" i="1"/>
  <c r="A20" i="1"/>
  <c r="A19" i="1"/>
  <c r="A18" i="1"/>
  <c r="A17" i="1"/>
  <c r="A16" i="1"/>
  <c r="I3" i="6" l="1"/>
  <c r="J3" i="6" s="1"/>
  <c r="I11" i="6"/>
  <c r="J11" i="6" s="1"/>
  <c r="I19" i="6"/>
  <c r="J19" i="6" s="1"/>
  <c r="I25" i="6"/>
  <c r="J25" i="6" s="1"/>
  <c r="I33" i="6"/>
  <c r="J33" i="6" s="1"/>
  <c r="I41" i="6"/>
  <c r="J41" i="6" s="1"/>
  <c r="B29" i="6"/>
  <c r="I4" i="6"/>
  <c r="J4" i="6" s="1"/>
  <c r="I12" i="6"/>
  <c r="J12" i="6" s="1"/>
  <c r="I20" i="6"/>
  <c r="J20" i="6" s="1"/>
  <c r="I26" i="6"/>
  <c r="J26" i="6" s="1"/>
  <c r="I34" i="6"/>
  <c r="J34" i="6" s="1"/>
  <c r="I42" i="6"/>
  <c r="J42" i="6" s="1"/>
  <c r="B36" i="6"/>
  <c r="I5" i="6"/>
  <c r="J5" i="6" s="1"/>
  <c r="I13" i="6"/>
  <c r="J13" i="6" s="1"/>
  <c r="I27" i="6"/>
  <c r="J27" i="6" s="1"/>
  <c r="I35" i="6"/>
  <c r="J35" i="6" s="1"/>
  <c r="I43" i="6"/>
  <c r="J43" i="6" s="1"/>
  <c r="B2" i="6"/>
  <c r="I6" i="6"/>
  <c r="J6" i="6" s="1"/>
  <c r="I14" i="6"/>
  <c r="J14" i="6" s="1"/>
  <c r="I21" i="6"/>
  <c r="J21" i="6" s="1"/>
  <c r="I28" i="6"/>
  <c r="J28" i="6" s="1"/>
  <c r="I36" i="6"/>
  <c r="J36" i="6" s="1"/>
  <c r="I44" i="6"/>
  <c r="J44" i="6" s="1"/>
  <c r="I7" i="6"/>
  <c r="J7" i="6" s="1"/>
  <c r="I15" i="6"/>
  <c r="J15" i="6" s="1"/>
  <c r="I22" i="6"/>
  <c r="J22" i="6" s="1"/>
  <c r="I29" i="6"/>
  <c r="J29" i="6" s="1"/>
  <c r="I37" i="6"/>
  <c r="J37" i="6" s="1"/>
  <c r="I45" i="6"/>
  <c r="J45" i="6" s="1"/>
  <c r="I8" i="6"/>
  <c r="J8" i="6" s="1"/>
  <c r="I16" i="6"/>
  <c r="J16" i="6" s="1"/>
  <c r="I23" i="6"/>
  <c r="J23" i="6" s="1"/>
  <c r="I30" i="6"/>
  <c r="J30" i="6" s="1"/>
  <c r="I38" i="6"/>
  <c r="J38" i="6" s="1"/>
  <c r="I2" i="6"/>
  <c r="J2" i="6" s="1"/>
  <c r="I9" i="6"/>
  <c r="J9" i="6" s="1"/>
  <c r="I17" i="6"/>
  <c r="J17" i="6" s="1"/>
  <c r="I31" i="6"/>
  <c r="J31" i="6" s="1"/>
  <c r="I39" i="6"/>
  <c r="J39" i="6" s="1"/>
  <c r="B14" i="6"/>
  <c r="I10" i="6"/>
  <c r="J10" i="6" s="1"/>
  <c r="I18" i="6"/>
  <c r="J18" i="6" s="1"/>
  <c r="I24" i="6"/>
  <c r="J24" i="6" s="1"/>
  <c r="I32" i="6"/>
  <c r="J32" i="6" s="1"/>
  <c r="I40" i="6"/>
  <c r="J40" i="6" s="1"/>
  <c r="B24" i="6"/>
  <c r="G41" i="6"/>
  <c r="G40" i="6"/>
  <c r="G32" i="6"/>
  <c r="G24" i="6"/>
  <c r="G18" i="6"/>
  <c r="G10" i="6"/>
  <c r="G2" i="6"/>
  <c r="F10" i="6"/>
  <c r="F18" i="6"/>
  <c r="F24" i="6"/>
  <c r="F32" i="6"/>
  <c r="F40" i="6"/>
  <c r="G29" i="6"/>
  <c r="G7" i="6"/>
  <c r="F27" i="6"/>
  <c r="G28" i="6"/>
  <c r="G14" i="6"/>
  <c r="F14" i="6"/>
  <c r="F36" i="6"/>
  <c r="G27" i="6"/>
  <c r="G5" i="6"/>
  <c r="F22" i="6"/>
  <c r="F45" i="6"/>
  <c r="G34" i="6"/>
  <c r="G20" i="6"/>
  <c r="F8" i="6"/>
  <c r="F30" i="6"/>
  <c r="G33" i="6"/>
  <c r="G11" i="6"/>
  <c r="F17" i="6"/>
  <c r="G39" i="6"/>
  <c r="G31" i="6"/>
  <c r="G17" i="6"/>
  <c r="G9" i="6"/>
  <c r="F3" i="6"/>
  <c r="F11" i="6"/>
  <c r="F19" i="6"/>
  <c r="F25" i="6"/>
  <c r="F33" i="6"/>
  <c r="F41" i="6"/>
  <c r="G37" i="6"/>
  <c r="G15" i="6"/>
  <c r="F5" i="6"/>
  <c r="F43" i="6"/>
  <c r="G44" i="6"/>
  <c r="G21" i="6"/>
  <c r="F6" i="6"/>
  <c r="F28" i="6"/>
  <c r="G35" i="6"/>
  <c r="G13" i="6"/>
  <c r="F7" i="6"/>
  <c r="F29" i="6"/>
  <c r="G26" i="6"/>
  <c r="G4" i="6"/>
  <c r="F23" i="6"/>
  <c r="F2" i="6"/>
  <c r="G19" i="6"/>
  <c r="F9" i="6"/>
  <c r="F39" i="6"/>
  <c r="G38" i="6"/>
  <c r="G30" i="6"/>
  <c r="G23" i="6"/>
  <c r="G16" i="6"/>
  <c r="G8" i="6"/>
  <c r="F4" i="6"/>
  <c r="F12" i="6"/>
  <c r="F20" i="6"/>
  <c r="F26" i="6"/>
  <c r="F34" i="6"/>
  <c r="F42" i="6"/>
  <c r="G45" i="6"/>
  <c r="G22" i="6"/>
  <c r="F13" i="6"/>
  <c r="F35" i="6"/>
  <c r="G36" i="6"/>
  <c r="G6" i="6"/>
  <c r="F21" i="6"/>
  <c r="F44" i="6"/>
  <c r="G43" i="6"/>
  <c r="F15" i="6"/>
  <c r="F37" i="6"/>
  <c r="G42" i="6"/>
  <c r="G12" i="6"/>
  <c r="F16" i="6"/>
  <c r="F38" i="6"/>
  <c r="G25" i="6"/>
  <c r="G3" i="6"/>
  <c r="F31" i="6"/>
  <c r="K24" i="6" l="1"/>
  <c r="G30" i="5" s="1"/>
  <c r="K29" i="6"/>
  <c r="K36" i="6"/>
  <c r="K14" i="6"/>
  <c r="K9" i="6"/>
  <c r="K6" i="6"/>
  <c r="K35" i="6"/>
  <c r="K19" i="6"/>
  <c r="K23" i="6"/>
  <c r="K40" i="6"/>
  <c r="K10" i="6"/>
  <c r="K7" i="6"/>
  <c r="K44" i="6"/>
  <c r="K20" i="6"/>
  <c r="K38" i="6"/>
  <c r="K3" i="6"/>
  <c r="K8" i="6"/>
  <c r="K30" i="6"/>
  <c r="K37" i="6"/>
  <c r="K25" i="6"/>
  <c r="K45" i="6"/>
  <c r="K11" i="6"/>
  <c r="K4" i="6"/>
  <c r="K12" i="6"/>
  <c r="K32" i="6"/>
  <c r="K41" i="6"/>
  <c r="K17" i="6"/>
  <c r="K15" i="6"/>
  <c r="K28" i="6"/>
  <c r="K39" i="6"/>
  <c r="K27" i="6"/>
  <c r="K5" i="6"/>
  <c r="K33" i="6"/>
  <c r="K42" i="6"/>
  <c r="K22" i="6"/>
  <c r="K2" i="6"/>
  <c r="K31" i="6"/>
  <c r="K13" i="6"/>
  <c r="K34" i="6"/>
  <c r="K43" i="6"/>
  <c r="K18" i="6"/>
  <c r="K16" i="6"/>
  <c r="K26" i="6"/>
  <c r="K21" i="6"/>
  <c r="H37" i="6"/>
  <c r="H17" i="6"/>
  <c r="H30" i="6"/>
  <c r="H2" i="6"/>
  <c r="H10" i="6"/>
  <c r="H44" i="6"/>
  <c r="H6" i="6"/>
  <c r="H7" i="6"/>
  <c r="H42" i="6"/>
  <c r="H36" i="6"/>
  <c r="H11" i="6"/>
  <c r="H5" i="6"/>
  <c r="H29" i="6"/>
  <c r="H18" i="6"/>
  <c r="H12" i="6"/>
  <c r="H38" i="6"/>
  <c r="H13" i="6"/>
  <c r="H33" i="6"/>
  <c r="H27" i="6"/>
  <c r="H24" i="6"/>
  <c r="H3" i="6"/>
  <c r="H8" i="6"/>
  <c r="H26" i="6"/>
  <c r="H39" i="6"/>
  <c r="H19" i="6"/>
  <c r="H35" i="6"/>
  <c r="H15" i="6"/>
  <c r="H9" i="6"/>
  <c r="H32" i="6"/>
  <c r="H40" i="6"/>
  <c r="H22" i="6"/>
  <c r="H25" i="6"/>
  <c r="H45" i="6"/>
  <c r="H20" i="6"/>
  <c r="H14" i="6"/>
  <c r="H43" i="6"/>
  <c r="H16" i="6"/>
  <c r="H23" i="6"/>
  <c r="H4" i="6"/>
  <c r="H21" i="6"/>
  <c r="H31" i="6"/>
  <c r="H34" i="6"/>
  <c r="H28" i="6"/>
  <c r="H41" i="6"/>
  <c r="E30" i="5" l="1"/>
  <c r="E26" i="5"/>
  <c r="G26" i="5"/>
  <c r="E28" i="5"/>
  <c r="G28" i="5"/>
  <c r="G34" i="5"/>
  <c r="E34" i="5"/>
  <c r="E32" i="5"/>
  <c r="G32" i="5"/>
  <c r="F56" i="3"/>
  <c r="F48" i="3"/>
  <c r="F40" i="3"/>
  <c r="F32" i="3"/>
  <c r="F24" i="3"/>
  <c r="F55" i="3"/>
  <c r="F47" i="3"/>
  <c r="F39" i="3"/>
  <c r="F31" i="3"/>
  <c r="F23" i="3"/>
  <c r="F34" i="3"/>
  <c r="F62" i="3"/>
  <c r="F54" i="3"/>
  <c r="F46" i="3"/>
  <c r="F38" i="3"/>
  <c r="F30" i="3"/>
  <c r="F22" i="3"/>
  <c r="F53" i="3"/>
  <c r="F45" i="3"/>
  <c r="F37" i="3"/>
  <c r="F29" i="3"/>
  <c r="F57" i="3"/>
  <c r="F33" i="3"/>
  <c r="F61" i="3"/>
  <c r="F21" i="3"/>
  <c r="F58" i="3"/>
  <c r="F50" i="3"/>
  <c r="F26" i="3"/>
  <c r="F60" i="3"/>
  <c r="F52" i="3"/>
  <c r="F44" i="3"/>
  <c r="F36" i="3"/>
  <c r="F28" i="3"/>
  <c r="F20" i="3"/>
  <c r="F25" i="3"/>
  <c r="F59" i="3"/>
  <c r="F51" i="3"/>
  <c r="F43" i="3"/>
  <c r="F35" i="3"/>
  <c r="F27" i="3"/>
  <c r="F19" i="3"/>
  <c r="F42" i="3"/>
  <c r="F49" i="3"/>
  <c r="F41" i="3"/>
  <c r="E56" i="3"/>
  <c r="E40" i="3"/>
  <c r="E55" i="3"/>
  <c r="E47" i="3"/>
  <c r="E39" i="3"/>
  <c r="E31" i="3"/>
  <c r="E23" i="3"/>
  <c r="E51" i="3"/>
  <c r="E27" i="3"/>
  <c r="E58" i="3"/>
  <c r="E26" i="3"/>
  <c r="E57" i="3"/>
  <c r="E25" i="3"/>
  <c r="E24" i="3"/>
  <c r="E62" i="3"/>
  <c r="E54" i="3"/>
  <c r="E46" i="3"/>
  <c r="E38" i="3"/>
  <c r="E30" i="3"/>
  <c r="E22" i="3"/>
  <c r="E60" i="3"/>
  <c r="E20" i="3"/>
  <c r="E43" i="3"/>
  <c r="E50" i="3"/>
  <c r="E34" i="3"/>
  <c r="E49" i="3"/>
  <c r="E48" i="3"/>
  <c r="E61" i="3"/>
  <c r="E53" i="3"/>
  <c r="E45" i="3"/>
  <c r="E37" i="3"/>
  <c r="E29" i="3"/>
  <c r="E21" i="3"/>
  <c r="E52" i="3"/>
  <c r="E44" i="3"/>
  <c r="E36" i="3"/>
  <c r="E28" i="3"/>
  <c r="E59" i="3"/>
  <c r="E35" i="3"/>
  <c r="E19" i="3"/>
  <c r="E42" i="3"/>
  <c r="E41" i="3"/>
  <c r="E33" i="3"/>
  <c r="E32" i="3"/>
  <c r="I61" i="3" l="1"/>
  <c r="G61" i="3"/>
  <c r="I59" i="3"/>
  <c r="G59" i="3"/>
  <c r="I45" i="3"/>
  <c r="G45" i="3"/>
  <c r="G20" i="3"/>
  <c r="I20" i="3"/>
  <c r="G24" i="3"/>
  <c r="I24" i="3"/>
  <c r="I31" i="3"/>
  <c r="G31" i="3"/>
  <c r="I32" i="3"/>
  <c r="G32" i="3"/>
  <c r="G28" i="3"/>
  <c r="I28" i="3"/>
  <c r="I53" i="3"/>
  <c r="G53" i="3"/>
  <c r="I60" i="3"/>
  <c r="G60" i="3"/>
  <c r="G25" i="3"/>
  <c r="I25" i="3"/>
  <c r="I39" i="3"/>
  <c r="G39" i="3"/>
  <c r="G22" i="3"/>
  <c r="I22" i="3"/>
  <c r="I57" i="3"/>
  <c r="G57" i="3"/>
  <c r="I47" i="3"/>
  <c r="G47" i="3"/>
  <c r="I33" i="3"/>
  <c r="G33" i="3"/>
  <c r="I44" i="3"/>
  <c r="G44" i="3"/>
  <c r="I48" i="3"/>
  <c r="G48" i="3"/>
  <c r="I30" i="3"/>
  <c r="G30" i="3"/>
  <c r="G26" i="3"/>
  <c r="I26" i="3"/>
  <c r="I55" i="3"/>
  <c r="G55" i="3"/>
  <c r="I41" i="3"/>
  <c r="G41" i="3"/>
  <c r="I52" i="3"/>
  <c r="G52" i="3"/>
  <c r="I49" i="3"/>
  <c r="G49" i="3"/>
  <c r="I38" i="3"/>
  <c r="G38" i="3"/>
  <c r="I58" i="3"/>
  <c r="G58" i="3"/>
  <c r="I42" i="3"/>
  <c r="G42" i="3"/>
  <c r="G21" i="3"/>
  <c r="I21" i="3"/>
  <c r="I34" i="3"/>
  <c r="G34" i="3"/>
  <c r="I46" i="3"/>
  <c r="G46" i="3"/>
  <c r="I27" i="3"/>
  <c r="G27" i="3"/>
  <c r="I40" i="3"/>
  <c r="G40" i="3"/>
  <c r="I36" i="3"/>
  <c r="G36" i="3"/>
  <c r="I19" i="3"/>
  <c r="G19" i="3"/>
  <c r="G29" i="3"/>
  <c r="I29" i="3"/>
  <c r="I50" i="3"/>
  <c r="G50" i="3"/>
  <c r="I54" i="3"/>
  <c r="G54" i="3"/>
  <c r="I51" i="3"/>
  <c r="G51" i="3"/>
  <c r="I56" i="3"/>
  <c r="G56" i="3"/>
  <c r="I35" i="3"/>
  <c r="G35" i="3"/>
  <c r="I37" i="3"/>
  <c r="G37" i="3"/>
  <c r="I43" i="3"/>
  <c r="G43" i="3"/>
  <c r="I62" i="3"/>
  <c r="G62" i="3"/>
  <c r="G23" i="3"/>
  <c r="I23" i="3"/>
  <c r="J41" i="3" l="1"/>
  <c r="J53" i="3"/>
  <c r="J46" i="3"/>
  <c r="J31" i="3"/>
  <c r="J19" i="3"/>
  <c r="M8" i="5" l="1"/>
</calcChain>
</file>

<file path=xl/sharedStrings.xml><?xml version="1.0" encoding="utf-8"?>
<sst xmlns="http://schemas.openxmlformats.org/spreadsheetml/2006/main" count="514" uniqueCount="245">
  <si>
    <t>EVALUACIÓN INDEPENDIENTE SISTEMA DE CONTROL INTERNO
Entidades Pequeñas
(instrucciones para su diligenciamiento)</t>
  </si>
  <si>
    <t>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Esta estructura requiere de un análisis articulado frente al desarrollo de las políticas de gestión y desempeño contenidas en el modelo y su efectividad en relación con la estructura de control, este útlimo, aspecto esecial para garantizar el buen manejo de los recursos, que las metas y objetivos se cumplan y se mejore la prestación del servicio a los usuarios, ejes fundamentales para la generación de valor público.
Teniendo en cuenta lo anterior y dada la necesidad de dar cumplimiento a la dispuesto en el articulo 156 del Decreto 2106 de 2019, el presente formatobusca que las entidades cuenten con una herramienta para evaluar sus Sistemas de Control Interno de manera integral y permitirle al Jefe de Control Interno o quien haga sus veces llevar a cabo el informe de evaluación independiente sobre el mismo para su publicación cada seis (6) meses, en el sitio web de la entidad. La estructura propuesta es diferencial para aquellas entidades de municipios de 6a categoría (Personerías y Concejos Municipales) que son entidades con 1 y hasta 5 servidores en sus plantas de personal. Estas entidades deben tener en cuenta que de acuerdo con el parágrafo del artículo ARTÍCULO 2.2.22.2.1. del Decreto 1499 de 2017, las políticas de gestión y desempeño contenidas en el Modelo Integrado de Planeación y Gestión MIPG, deben ser aplicadas acorde con las normas que las regulan, por lo que deben analizar dichas políticas e implementarlas en armonía con el MECI.</t>
  </si>
  <si>
    <t>Orientaciones Generales</t>
  </si>
  <si>
    <r>
      <t xml:space="preserve">El archivo contiene las siguientes hojas:
 -  1 </t>
    </r>
    <r>
      <rPr>
        <b/>
        <sz val="11"/>
        <rFont val="Arial Narrow"/>
        <family val="2"/>
      </rPr>
      <t xml:space="preserve">Pestaña que desarrolla la estructura para evaluar el estado del Sistema de Control Interno: </t>
    </r>
    <r>
      <rPr>
        <sz val="11"/>
        <rFont val="Arial Narrow"/>
        <family val="2"/>
      </rPr>
      <t xml:space="preserve">Se desagrega en </t>
    </r>
    <r>
      <rPr>
        <sz val="10"/>
        <rFont val="Arial Narrow"/>
        <family val="2"/>
      </rPr>
      <t>"Ambiente de Control", "Evaluación de riesgos", "Actividades de control", "Información y Comunicación", y " Actividades de Monitoreo", componentes actuales del Modelo Estándar de Control Interno MECI. La estructura es la siguiente para el diligenciamiento:</t>
    </r>
  </si>
  <si>
    <t>Columna</t>
  </si>
  <si>
    <t>Descripción</t>
  </si>
  <si>
    <t>Componente del MECI asociado</t>
  </si>
  <si>
    <t>Esta columna define los componentes del MECI.</t>
  </si>
  <si>
    <t>Lineamiento General por Componente</t>
  </si>
  <si>
    <t>En esta columna establece el lineamientos general para cada uno de los componentes del MECI</t>
  </si>
  <si>
    <t>Requerimiento Asociado al Componente</t>
  </si>
  <si>
    <t>Se muestran una serie de preguntas con 3 opciones de respuesta así:
1. SI
2.NO
3. EN PROCESO</t>
  </si>
  <si>
    <t>Evidencia de Seguimiento al Control</t>
  </si>
  <si>
    <t>Establezca actividades adelantadas de aplicación del documento o elemento antes identificado (esto cuando se responde SI o bien EN PROCESO)</t>
  </si>
  <si>
    <r>
      <t xml:space="preserve"> -</t>
    </r>
    <r>
      <rPr>
        <sz val="11"/>
        <rFont val="Arial Narrow"/>
        <family val="2"/>
      </rPr>
      <t xml:space="preserve"> </t>
    </r>
    <r>
      <rPr>
        <b/>
        <sz val="11"/>
        <rFont val="Arial Narrow"/>
        <family val="2"/>
      </rPr>
      <t>Análisis de Resultados:</t>
    </r>
    <r>
      <rPr>
        <sz val="10"/>
        <rFont val="Arial Narrow"/>
        <family val="2"/>
      </rPr>
      <t xml:space="preserve"> Esta hoja permite consolidar los resultados para cada componente evaluado.</t>
    </r>
  </si>
  <si>
    <t xml:space="preserve">Clasificación </t>
  </si>
  <si>
    <t>Observaciones del Control</t>
  </si>
  <si>
    <t>Mantenimiento del Control</t>
  </si>
  <si>
    <t>Existe requerimiento pero se requiere actividades  dirigidas a su mantenimiento dentro del marco de las lineas de defensa.</t>
  </si>
  <si>
    <t>Oportunidad de Mejora</t>
  </si>
  <si>
    <t>Se encuentra en proceso, pero requiere continuar con acciones dirigidas a contar con dicho aspecto de control</t>
  </si>
  <si>
    <t xml:space="preserve">Deficiencia del Control 
</t>
  </si>
  <si>
    <t>No se encuentra el aspecto  por lo tanto la entidad debera generar acciones dirigidas a que se cumpla con el requerimiento .</t>
  </si>
  <si>
    <r>
      <t xml:space="preserve"> -</t>
    </r>
    <r>
      <rPr>
        <sz val="11"/>
        <rFont val="Arial Narrow"/>
        <family val="2"/>
      </rPr>
      <t xml:space="preserve"> </t>
    </r>
    <r>
      <rPr>
        <b/>
        <sz val="11"/>
        <rFont val="Arial Narrow"/>
        <family val="2"/>
      </rPr>
      <t>Conclusiones:</t>
    </r>
    <r>
      <rPr>
        <sz val="10"/>
        <rFont val="Arial Narrow"/>
        <family val="2"/>
      </rPr>
      <t xml:space="preserve"> Esta hoja permite establecer el estado del Sistema de Control Interno evaluado, información a partir de la cual se definen las acciones de mejora correspondientes. Esta hoja será el informe para publicación en página web, o bien para ubicar en un lugar visible en la sede de la entidad (esto para aquellas que no cuentan con conectividad o página web en operación).</t>
    </r>
  </si>
  <si>
    <t>MEDICION ESTADO DEL SISTEMA DE CONTROL INTERNO EN LA ENTIDAD</t>
  </si>
  <si>
    <t xml:space="preserve">No. </t>
  </si>
  <si>
    <t>Literal</t>
  </si>
  <si>
    <t>Requerimiento asociado al componente</t>
  </si>
  <si>
    <t>Seguimiento al control (Si, No, En proceso)</t>
  </si>
  <si>
    <t>Evidencia de seguimiento al control
(Establezca actividades adelantadas de aplicación del documento o elemento antes identificado, esto cuando se responde SI o bien EN PROCESO</t>
  </si>
  <si>
    <t>Evaluación</t>
  </si>
  <si>
    <t>1</t>
  </si>
  <si>
    <t>AMBIENTE DE CONTROL</t>
  </si>
  <si>
    <t>El ambiente de control institucional está integrado por todas esas condiciones mínimas que debe garantizar cualquier entidad pública para el ejercicio del control interno. Para el caso de su entidad indique si se cuenta con:</t>
  </si>
  <si>
    <t>a</t>
  </si>
  <si>
    <t>Documento interno o adopción del MECI actualizado</t>
  </si>
  <si>
    <t>No</t>
  </si>
  <si>
    <t>b</t>
  </si>
  <si>
    <t>Un documento tal como un código de ética, integridad u otro que formalice los estándares de conducta, los principios institucionales o los valores del servicio público</t>
  </si>
  <si>
    <t>Si</t>
  </si>
  <si>
    <t>c</t>
  </si>
  <si>
    <t>Planes, programas y proyectos de acuerdo con las normas que rigen y atendiendo con su propósito fundamental institucional (misión)</t>
  </si>
  <si>
    <t>d</t>
  </si>
  <si>
    <t>Una estructura organizacional formalizada (organigrama)</t>
  </si>
  <si>
    <t>e</t>
  </si>
  <si>
    <t>Un manual de funciones que describa los empleos de la entidad</t>
  </si>
  <si>
    <t>f</t>
  </si>
  <si>
    <t>La documentación de sus procesos y procedimientos o bien una lista de actividades principales que permitan conocer el estado de su gestión</t>
  </si>
  <si>
    <t>g</t>
  </si>
  <si>
    <t>Vinculación de los servidores públicos de acuerdo con el marco normativo que les rige (carrera administrativa, libre nombramiento y remoción, entre otros)</t>
  </si>
  <si>
    <t>h</t>
  </si>
  <si>
    <t>Procesos de inducción, capacitación y bienestar social para sus servidores públicos, de manera directa o en asociación con otras entidades municipales</t>
  </si>
  <si>
    <t>i</t>
  </si>
  <si>
    <t>Evaluación a los servidores públicos de acuerdo con el marco normativo que le rige</t>
  </si>
  <si>
    <t>j</t>
  </si>
  <si>
    <t>Procesos de desvinculación de servidores de acuerdo con lo previsto en la Constitución Política y las leyes</t>
  </si>
  <si>
    <t>k</t>
  </si>
  <si>
    <t>Mecanismos de rendición de cuentas a la ciudadanía</t>
  </si>
  <si>
    <t>l</t>
  </si>
  <si>
    <t>Presentación oportuna de sus informes de gestión a las autoridades competentes</t>
  </si>
  <si>
    <t>2</t>
  </si>
  <si>
    <t>EVALUACION DEL RIESGO</t>
  </si>
  <si>
    <t>Toda entidad debe identificar, evaluar y gestionar eventos potenciales, tanto internos como externos, que puedan afectar el logro de los objetivos institucionales. Para el caso de su entidad indique si se cuenta con:</t>
  </si>
  <si>
    <t>Identificación de cambios en su entorno que pueden generar consecuencias negativas en su gestión</t>
  </si>
  <si>
    <t>Identificación de aquellos problemas o aspectos que pueden afectar el cumplimiento de los planes de la entidad y en general su gestión institucional (riesgos)</t>
  </si>
  <si>
    <t>Identificación  de los riesgos relacionados con posibles actos de corrupción en el ejercicio de sus funciones</t>
  </si>
  <si>
    <t>Si su capacidad e infraestructura lo permite, identificación de riesgos asociados a las tecnologías de la información y las comunicaciones</t>
  </si>
  <si>
    <t>3</t>
  </si>
  <si>
    <t>Los líderes de los programas, proyectos, o procesos de la entidad  junto con sus equipos de trabajo:</t>
  </si>
  <si>
    <t>Hacen seguimiento a los problemas (riesgos)  que pueden afectar el cumplimiento de sus procesos, programas o proyectos a cargo</t>
  </si>
  <si>
    <t>Informan de manera periódica a quien corresponda sobre el desempeño de las actividades de gestión de riesgos</t>
  </si>
  <si>
    <t>Identifican deficiencias en las maneras de  controlar los riesgos o problemas en sus procesos, programas o proyectos, y propone los ajustes necesarios</t>
  </si>
  <si>
    <t>4</t>
  </si>
  <si>
    <t>Para el manejo de los problemas que afectan el cumplimiento de las metas u objetivos institucionales (riesgos), el jefe de control interno o quien haga sus veces, ha podido evidenciar si en la entidad:</t>
  </si>
  <si>
    <t>Se definen espacios de reunión para conocerlos y proponer acciones para su solución</t>
  </si>
  <si>
    <t>Cada líder del equipo autónomamente toma las acciones para solucionarlos.</t>
  </si>
  <si>
    <t>En proceso</t>
  </si>
  <si>
    <t>Solamente hasta que un organismo de control actúa se definen acciones de mejora.</t>
  </si>
  <si>
    <t>5</t>
  </si>
  <si>
    <t>ACTIVIDADES DE CONTROL</t>
  </si>
  <si>
    <t>Una vez identificados los problemas que afectan el cumplimiento de los planes de la entidad o su gestión institucional, la entidad debe diseñar los controles o mecanismos para darles tratamiento. Para el caso de su entidad indique si se cuenta con:</t>
  </si>
  <si>
    <t>La definición de acciones o actividades para para dar tratamiento a los problemas identificados (mitigación de riesgos), incluyendo aquellos asociados a posibles actos de corrupción</t>
  </si>
  <si>
    <t>Mecanismos de verificación de si se están o no mitigando los riesgos, o en su defecto, elaboración de planes de contingencia para subsanar sus consecuencias</t>
  </si>
  <si>
    <t>Planes, acciones o estrategias que permitan subsanar las consecuencias de la materialización de los riesgos, cuando se presentan</t>
  </si>
  <si>
    <t>Un documento que consolide  los riesgos  y el tratamiento que se les da, incluyendo aquellos que conllevan posibles actos de corrupción y si la capacidad e infraestructura lo permite, los asociados con las tecnologías de la información y las comunicaciones</t>
  </si>
  <si>
    <t>Un plan anticorrupción y de servicio al ciudadano con los temas que le aplican, publicado en algún medio para conocimiento de la ciudadanía</t>
  </si>
  <si>
    <t>6</t>
  </si>
  <si>
    <t>INFORMACION Y COMUNICACIÓN</t>
  </si>
  <si>
    <t>Las entidades deben procurar, de acuerdo con sus propias capacidades internas, que la información y la comunicación que requiere para su gestión y  control interno fluya de manera clara.  Acorde con lo anterior, indique si se cuenta con:</t>
  </si>
  <si>
    <t>Responsables de la información institucional</t>
  </si>
  <si>
    <t>Canales de comunicación con los ciudadanos</t>
  </si>
  <si>
    <t>Canales de comunicación o mecanismos de reporte de información a otros organismos gubernamentales o de control</t>
  </si>
  <si>
    <t xml:space="preserve">Lineamientos para dar tratamiento a la información de carácter reservado </t>
  </si>
  <si>
    <t>Identificación de información que produce en el marco de su gestión (Para los ciudadanos, organismos de control, organismos gubernamentales, entre otros)</t>
  </si>
  <si>
    <t>Identificación de información necesaria para la operación de la entidad (normograma, presupuesto, talento humano, infraestructura física y tecnológica)</t>
  </si>
  <si>
    <t>Si su capacidad e infraestructura lo permite, tecnologías de la información y las comunicaciones que soporten estos procesos</t>
  </si>
  <si>
    <t>7</t>
  </si>
  <si>
    <t>ACTIVIDADES DE MONITOREO</t>
  </si>
  <si>
    <t>Las entidades deben valorar: la eficiencia y eficacia de su gestión y la efectividad del control interno de la entidad pública con el propósito de detectar desviaciones y generar recomendaciones para la mejora. Para el caso de su entidad indique si se cuenta con:</t>
  </si>
  <si>
    <t>Mecanismos de evaluación de la gestión (cronogramas, indicadores, listas de chequeo u otros)</t>
  </si>
  <si>
    <t>Algún mecanismo para monitorear o supervisar el sistema de control interno institucional, ya sea por parte del representante legal, o del área de control interno (si la entidad cuenta con ella), o bien a través del Comité departamental o municipal de Auditoría.</t>
  </si>
  <si>
    <t>Medidas correctivas en caso de detectarse deficiencias en los ejercicios de evaluación, seguimiento o auditoría</t>
  </si>
  <si>
    <t>Seguimiento a los planes de mejoramiento suscritos con instancias de control internas o externas</t>
  </si>
  <si>
    <t>8</t>
  </si>
  <si>
    <t>¿La entidad ha solicitado hacer parte del Comité Municipal de Auditoría, a efectos de contar con un escenario para compartir buenas prácticas en materia de control interno, así como analizar la viabilidad de contar como mínimo con un proceso auditor en la vigencia?</t>
  </si>
  <si>
    <t>La entidad participa en el  Comité Municipal de Auditoría?</t>
  </si>
  <si>
    <t>9</t>
  </si>
  <si>
    <t>El jefe de control interno o quien haga sus veces, ha podido evidenciar si en la entidad el manejo que se ha hecho a los problemas que afectan el cumplimiento de sus metas y objetivos (riesgos) le ha permitido:</t>
  </si>
  <si>
    <t>Evitar que los problemas (riesgos) obstaculicen el cumplimiento de los objetivos.</t>
  </si>
  <si>
    <t>Controlar los puntos críticos en los procesos.</t>
  </si>
  <si>
    <t>Diseñar acciones adecuadas para controlar los problemas que afectan el cumplimiento de las metas y objetivos institucionales (riesgos).</t>
  </si>
  <si>
    <t>Ejecutar las acciones de acuerdo a como se diseñaron previamente.</t>
  </si>
  <si>
    <t>No se gestionan los problemas que afectan el cumplimiento de las funciones y objetivos institucionales(riesgos).</t>
  </si>
  <si>
    <t>ANÁLISIS DE RESULTADOS PARA LA TOMA DE DECISIONES</t>
  </si>
  <si>
    <t>Se encuentra en proceso, pero requiere continuar con acciones dirigidas a contar con dicho aspecto de control.</t>
  </si>
  <si>
    <t>Se encuentra presente  y funcionando, pero requiere mejoras frente a su diseño, ya que  opera de manera efectiva</t>
  </si>
  <si>
    <t>No se encuentra el aspecto  por lo tanto la entidad debera generar acciones dirigidas a que se cumpla con el requerimiento.</t>
  </si>
  <si>
    <t>RESULTADOS</t>
  </si>
  <si>
    <t>FUENTE DEL ANALISIS</t>
  </si>
  <si>
    <t xml:space="preserve">Seguimiento al control </t>
  </si>
  <si>
    <t>OBSERVACIONES DEL CONTROL</t>
  </si>
  <si>
    <t>NIVEL DE CUMPLIMIENTO-ASPECTOS PARTICULARES POR COMPONENTE</t>
  </si>
  <si>
    <t>NIVEL DE CUMPLIMIENTO COMPONENTE</t>
  </si>
  <si>
    <t>componente</t>
  </si>
  <si>
    <t>Nombre de la Entidad:</t>
  </si>
  <si>
    <t>Periodo Evaluado:</t>
  </si>
  <si>
    <t>Estado del sistema de Control Interno de la entidad</t>
  </si>
  <si>
    <t>Conclusión general sobre la evaluación del Sistema de Control Interno</t>
  </si>
  <si>
    <t>¿Están todos los componentes operando juntos y de manera integrada? (Si / en proceso / No) (Justifique su respuesta):</t>
  </si>
  <si>
    <t>¿Es efectivo el sistema de control interno para los objetivos evaluados? (Si/No) (Justifique su respuesta):</t>
  </si>
  <si>
    <t>La entidad cuenta dentro de su Sistema de Control Interno, con una institucionalidad (Líneas de defensa)  que le permita la toma de decisiones frente al control (Si/No) (Justifique su respuesta):</t>
  </si>
  <si>
    <t>Componente</t>
  </si>
  <si>
    <t>¿se esta cumpliendo los requerimientos ?</t>
  </si>
  <si>
    <t>Nivel de Cumplimiento componente</t>
  </si>
  <si>
    <r>
      <rPr>
        <b/>
        <u/>
        <sz val="20"/>
        <color theme="0"/>
        <rFont val="Arial"/>
        <family val="2"/>
      </rPr>
      <t xml:space="preserve"> Estado actual:</t>
    </r>
    <r>
      <rPr>
        <b/>
        <sz val="20"/>
        <color theme="0"/>
        <rFont val="Arial"/>
        <family val="2"/>
      </rPr>
      <t xml:space="preserve"> Explicacion de las Debilidades y/o Fortalezas encontradas en cada componente</t>
    </r>
  </si>
  <si>
    <t>EVALUCION DEL RIESGO</t>
  </si>
  <si>
    <t>ACTIVIDADES DEL CONTROL</t>
  </si>
  <si>
    <t xml:space="preserve">ACTIVIDADES DE MONITOREO </t>
  </si>
  <si>
    <t xml:space="preserve">Evaluación </t>
  </si>
  <si>
    <t>Puntaje</t>
  </si>
  <si>
    <t xml:space="preserve">Orden </t>
  </si>
  <si>
    <t>Nivel de cumplimiento -Aaspectos particulares por componente</t>
  </si>
  <si>
    <t xml:space="preserve">Promedios </t>
  </si>
  <si>
    <t>1a</t>
  </si>
  <si>
    <t>1b</t>
  </si>
  <si>
    <t>1c</t>
  </si>
  <si>
    <t>1d</t>
  </si>
  <si>
    <t>1e</t>
  </si>
  <si>
    <t>1f</t>
  </si>
  <si>
    <t>1g</t>
  </si>
  <si>
    <t>1h</t>
  </si>
  <si>
    <t>1i</t>
  </si>
  <si>
    <t>1j</t>
  </si>
  <si>
    <t>1k</t>
  </si>
  <si>
    <t>1l</t>
  </si>
  <si>
    <t>2a</t>
  </si>
  <si>
    <t>La identificación de cambios en su entorno que pueden generar consecuencias negativas en su gestión</t>
  </si>
  <si>
    <t>2b</t>
  </si>
  <si>
    <t>La identificación de aquellos problemas o aspectos que pueden afectar el cumplimiento de los planes de la entidad y en general su gestión institucional (riesgos)</t>
  </si>
  <si>
    <t>2c</t>
  </si>
  <si>
    <t>La identificación  de los riesgos relacionados con posibles actos de corrupción en el ejercicio de sus funciones</t>
  </si>
  <si>
    <t>2d</t>
  </si>
  <si>
    <t>3a</t>
  </si>
  <si>
    <t>3b</t>
  </si>
  <si>
    <t>3c</t>
  </si>
  <si>
    <t>4a</t>
  </si>
  <si>
    <t>4b</t>
  </si>
  <si>
    <t>4c</t>
  </si>
  <si>
    <t>5a</t>
  </si>
  <si>
    <t>5b</t>
  </si>
  <si>
    <t>5c</t>
  </si>
  <si>
    <t>5d</t>
  </si>
  <si>
    <t>5e</t>
  </si>
  <si>
    <t>6a</t>
  </si>
  <si>
    <t>6b</t>
  </si>
  <si>
    <t>6c</t>
  </si>
  <si>
    <t>6d</t>
  </si>
  <si>
    <t>6e</t>
  </si>
  <si>
    <t>El jefe de control interno o quien haga sus veces, ha podido evidenciar si en la entidad si el manejo que se ha hecho a los problemas que afectan el cumplimiento de sus metas y objetivos (riesgos) le ha permitido:</t>
  </si>
  <si>
    <t>6f</t>
  </si>
  <si>
    <t>6g</t>
  </si>
  <si>
    <t>7a</t>
  </si>
  <si>
    <t>7d</t>
  </si>
  <si>
    <t>7f</t>
  </si>
  <si>
    <t>7g</t>
  </si>
  <si>
    <t>8h</t>
  </si>
  <si>
    <t>9a</t>
  </si>
  <si>
    <t>9b</t>
  </si>
  <si>
    <t>9c</t>
  </si>
  <si>
    <t>9d</t>
  </si>
  <si>
    <t>9e</t>
  </si>
  <si>
    <t>La institución realizo la rendición de cuentas  a la comunidad cumpliendo con los requerimiento legales, la cual se encuentra publicada en la página web</t>
  </si>
  <si>
    <t>Se cuenta con el Plan anticorrupción y de atención al ciudadano de la vigencia 2022, el cual esta publicado en la pagina y su primer seguimiento por parte de Control Interno</t>
  </si>
  <si>
    <t>La ESE cuenta con la adopcion del MECI a través de la Resolucion 972 del 30 de noviembre de 2021</t>
  </si>
  <si>
    <t xml:space="preserve">La institucion aprobo el cófigo de etica, se cuenta con la 4 versión. Se actualiza código de ética teniendo en cuenta la misión, visión, los valores y principios establecidos en el plan de desarrollo 2020-2024 “Nos transformamos para cuidar tu salud”, los cuales fueron alineados con la Politica y Código de Integridad de MIPG. </t>
  </si>
  <si>
    <t>Se cuenta con los planes según la norma incluido al Plan Integral (Plan de acción institucinal) para la vigencia 2022</t>
  </si>
  <si>
    <t xml:space="preserve">Reglamentado por el Acuerdo 07 de 2021 donde se define la estructura organizacional y funcional de la ESE </t>
  </si>
  <si>
    <t>Se cuenta con el Acuerdo 07 de 2016: Manual de funciones y competencias que esta programada la actualización para el segundo semestre del 2022</t>
  </si>
  <si>
    <t xml:space="preserve">Se cuenta con el inventario documetal de los procedimientos por cada uno de los procesos descritos en la institución, los cuales se encuentran en etapa de actualización </t>
  </si>
  <si>
    <t xml:space="preserve">Los empleados de la institución que desempeñan labores misionales se encuentran adscritos a la planta de cargos(Carrera administrativa, provisionalidad, remoción y libre nombramiento) seguiendo las directrices legales </t>
  </si>
  <si>
    <t xml:space="preserve">Se cuenta con el Plan de estimulos e incentivos liderado por el comité de Bienestar Social para la vigencia 2022, junto con el cronograma de eventos del año. </t>
  </si>
  <si>
    <t xml:space="preserve">Se realiza la evaluación a los empleados de Carrera administrativa y se esta en proceso de evaluar a los provisionales, ya se adopto el modelo </t>
  </si>
  <si>
    <t xml:space="preserve">Se cuenta con Plan de retiro para los empleados que cumplen con su ciclo en la institución, actualmete se esta montando un curso de prepensionados el cual ya fue aprobado por la caja de compensación </t>
  </si>
  <si>
    <t xml:space="preserve">Se cuenta con cronograma de reportes a las diferentes entidades, cumpliendo con los tiempos establecidos. Se realiza seguimiento a la oportunidad del reporte </t>
  </si>
  <si>
    <t xml:space="preserve">En la matriz de riesgo se evaluan tanto los riesgos internos como extterno para mitigar su impacto y actuar proactivamente </t>
  </si>
  <si>
    <t xml:space="preserve">En los seguimientos y evaluaciones periodicas que se realizan, se estuadian y se incluyen las posibles situaciones que puedan afectar negatvamente el cumplimiento de los objetivos institucionales </t>
  </si>
  <si>
    <t>Se cuenta con la adopción del Manual de Riesgo, adoptados desde el Decreto 1499 de 2017 del modelo de gestión</t>
  </si>
  <si>
    <t>Actualmente la institución se encuentra en proceso de actualización de su plataforma informatica, incuido el dominio de la pagina web y el paso de IPV4 a IPV6</t>
  </si>
  <si>
    <t>Se realizan los seguimientos a los procesos, detectando los riesgos que puedan afectar el normal funcionamiento de la entidad, iniciando desde la primera linea de defensa</t>
  </si>
  <si>
    <t xml:space="preserve">Con la actualización del mapa de riesgo se estan programando las capacitaciones a los lidertes de procesos junto con sus equipos de trabajo </t>
  </si>
  <si>
    <t>En los seguiemjentos a los procesos se identifican los riesgos y se ajusta el proceso junto con las acciones correctivas en pro del normal funcionamiento de la institución</t>
  </si>
  <si>
    <t xml:space="preserve">Se cuenta con el Comité de Control Interno y el de desempeño, acompañado del Equipo de mejoramiento, donde se reunene mensualmente para abordar estos temas. </t>
  </si>
  <si>
    <t xml:space="preserve">Los lideres son los primeros en detectar las fallas en sus procesos, notificar y ajustar junto con el equipo de mejoramiento para dar solución a las deficiencias </t>
  </si>
  <si>
    <t>La institución trabaja de manera proactiva con una planeación anual que le permite evaluarse constantemente y determinar las fallas que afectan los procesos</t>
  </si>
  <si>
    <t xml:space="preserve">Se cuenta con una matriz de riesgo actualizada, que permite cononer e incorporar los puntos de control para disminuir el impacto en caso de desviaciones </t>
  </si>
  <si>
    <t>En los procesos de auditoria y seguimiento se abordan los temas al igual que el proceso de capacitación a todo los lideres (primera linea de defensa).</t>
  </si>
  <si>
    <t xml:space="preserve">Se evidencia la falla o deficiencia y enseguida se implementa el plan de mejoramiento y su seguimiento para subsanar las falencias </t>
  </si>
  <si>
    <t xml:space="preserve">Se cuenta con matriz de riesgo </t>
  </si>
  <si>
    <t>Se tiene asigando el lider de la información institucional, tanto interna como externa (correspondencia)</t>
  </si>
  <si>
    <t xml:space="preserve">Se cuentan con diferentes medios de comunicación: Página web, emisora local, buzones de sugerencia, oficina comunicaciones  (medios digitales) y trabajadora social junto con la Asociación de usuarios </t>
  </si>
  <si>
    <t xml:space="preserve">Página web, emisora local, buzones y oficina comunicaciones, trabajo social y Asociación de usuarios </t>
  </si>
  <si>
    <t>Se definen acorde a los lineamientos legales (información reservada).</t>
  </si>
  <si>
    <t xml:space="preserve">Se esta en actualización de la página web (transparencia) para facilitar la navegabilidad de los usuarios </t>
  </si>
  <si>
    <t xml:space="preserve">Se cuenta con la información en la pagina web, cumpliendo con los lineamientos legales, ajustando los procesos y actualizando su contenido </t>
  </si>
  <si>
    <t xml:space="preserve">Se esta actualizando las redes,servidores y pagina web para mejorar los procesos </t>
  </si>
  <si>
    <t>Se cuenta con la implementación de los procesos, se esta en periodo de implementación de indicadores (evaluación y medición).</t>
  </si>
  <si>
    <t>No se tiene implementado en el municipio</t>
  </si>
  <si>
    <t xml:space="preserve">Se realiza seguimiento desde el Comité de Gestión y desempeño, al igual que en el comité de control iinterno basado en un ambiente de control  </t>
  </si>
  <si>
    <t xml:space="preserve">Se ajustan los procesos y se incorporan los planes de mejoramiento para atacar las fallas </t>
  </si>
  <si>
    <t xml:space="preserve">Se realiza seguimiento desde la oficina de planeación, calidad y control interno a los planes productos de visitas o auditorias internas y externas </t>
  </si>
  <si>
    <t xml:space="preserve">En las auditorias y las acciones de seguimiento y evaluación se generan las recomendaciones para ayudar a subsanar las fallas y mitigar los riesgos </t>
  </si>
  <si>
    <t xml:space="preserve">Se cuenta con la matriz de riesgo que incluye los puntos de control de cada proceso que puedan afectar el cumplimiento de las metas </t>
  </si>
  <si>
    <t xml:space="preserve">Al inicio de cada periodo se formulas los planes y las acciones a desarrollar para lograr el cumpliemto de las metas </t>
  </si>
  <si>
    <t xml:space="preserve">Siempre se trabaja en pro del mejoramiento, buscando solución oportuna a los problemas y así evitar o mitigar el impacto negativo.
</t>
  </si>
  <si>
    <t>Las se tratan de ejecutar como se diseñan, sin desconocer que se presentan desviaciones que pueden afectar el normal funcionamiento del proceso y ajustar con nuevos cambios (versiones)</t>
  </si>
  <si>
    <t xml:space="preserve">La institución tiene incorporado un organigrama, donde se definen los niveles jerárquicos, roles y responsabilidades, se encuentra trabajando sobre la implementación de las líneas de defensa y el rol de cada uno dentro de los procesos. Aunque en la institución existe un jefe de área siempre dispuesto a tomar las decisiones oportunas y competentes con el visto buenos de los directivos, procurando siempre de ser asertivos dentro del marco legal vigente </t>
  </si>
  <si>
    <t xml:space="preserve">La efectividad del Sistema de Control Interno está vinculada a la efectividad del cumplimiento de los planes de acción liderados por cada líder de proceso (áreas y/o servicios), en cumplimiento del plan de desarrollo y plan de acción, basado en los roles y responsabilidades de las líneas de defensa, de resaltar que se debe trabajar más arduamente este tema ya que control interno somos todos en la institución, la responsabilidad no recae en una oficina si no en el involucramiento de todos sus colaboradores. </t>
  </si>
  <si>
    <t xml:space="preserve">Todos los componentes se encuentran operando integradamente, con oportunidades de mejora para fortalecer los procesos, es de resaltar que el MECI es un modelo que requiere de constante intervención para tratar las recomendaciones y avanzar continuamente. </t>
  </si>
  <si>
    <t xml:space="preserve">Debilidades: Se cuentan con los procesos documentados, algunos que requieren actualización pero falta incorporar mayor responsabilidad en algunos funcionarios que ejecutan las acciones y estandarizarlos. 
Fortalezas: La institución cuenta con funcionaros comprometidos que conocen sus procesos y cuentan con una gran experiencia que les ayuda a controlar y llevar adecuadamente los procesos. 
</t>
  </si>
  <si>
    <t xml:space="preserve">Fortalezas: Se cuenta con la política actualizada de administración del riesgo, según la guía de Administración del riesgo vigencia 2020 del DAFP y la matriz de riesgo institucional. 
Debilidades: Falta socializar y capacitar a todos los colaboradores de la institución en riesgo y al mismo tiempo actualizar los procesos y procedimientos para facilitar la incorporación y adopción de acuerdo a las necesidades institucionales 
</t>
  </si>
  <si>
    <t xml:space="preserve">Debilidades: Que se requiere que los responsables de los procesos realicen mayor supervisión a las actividades y asuman el rol definido en las líneas de defensa para aumentar los seguimientos y ayudar a corregir de manera oportuna las desviaciones e implementar acciones de mejora tempranamente. 
Fortalezas: La institución evalúa periódicamente la actualización de procesos, procedimientos, políticas de operación, manuales u otras para garantizar la aplicación adecuada en las principales actividades de control.
</t>
  </si>
  <si>
    <t xml:space="preserve">
Debilidades: Deficiencias en los medios de comunicación, desactualización y obsolescencia tecnológica que posibilitan la pobre operación de algunos procesos y la definición clara de responsabilidades de los encargados frente al tema 
Fortalezas: La institución cuenta con la caracterización de usuarios o grupos de valor. Seguimiento periódico a las PQRSF, desde la oficina del SIAU, alianza de usuarios y control interno. Se cuentan con diferentes medios y mecanismos de comunicación que permiten que la información y la comunicación sean más eficientes 
</t>
  </si>
  <si>
    <t xml:space="preserve">Debilidades: Existen deficiencia en los procedimientos de monitoreo continuo por parte de los líderes de proceso, responsables de las áreas 
Fortalezas: El comité Institucional de Coordinación de Control Interno aprueba anualmente el Plan Anual de Auditoría presentado por parte del Jefe de Control Interno o quien haga sus veces y hace el correspondiente seguimiento a su ejecución. Y se evalúa la ejecución de los diferentes planes y programas instituciones.
 </t>
  </si>
  <si>
    <t xml:space="preserve">ESE Hospital San Sebastián de Urabá </t>
  </si>
  <si>
    <t>1 de enero de 2022 - 30 de junio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</si>
</sst>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61" x14ac:knownFonts="1">
    <font>
      <sz val="11"/>
      <color theme="1"/>
      <name val="Calibri"/>
      <family val="2"/>
      <scheme val="minor"/>
    </font>
    <font>
      <sz val="11"/>
      <name val="Arial"/>
      <family val="2"/>
    </font>
    <font>
      <b/>
      <sz val="12"/>
      <name val="Arial"/>
      <family val="2"/>
    </font>
    <font>
      <sz val="11"/>
      <color theme="1"/>
      <name val="Calibri"/>
      <family val="2"/>
      <scheme val="minor"/>
    </font>
    <font>
      <sz val="11"/>
      <color theme="0"/>
      <name val="Calibri"/>
      <family val="2"/>
      <scheme val="minor"/>
    </font>
    <font>
      <b/>
      <sz val="12"/>
      <color theme="0"/>
      <name val="Arial"/>
      <family val="2"/>
    </font>
    <font>
      <b/>
      <sz val="20"/>
      <color theme="0"/>
      <name val="Arial Narrow"/>
      <family val="2"/>
    </font>
    <font>
      <sz val="11"/>
      <color theme="1"/>
      <name val="Arial Narrow"/>
      <family val="2"/>
    </font>
    <font>
      <sz val="11"/>
      <color theme="0"/>
      <name val="Arial Narrow"/>
      <family val="2"/>
    </font>
    <font>
      <b/>
      <sz val="18"/>
      <color theme="0"/>
      <name val="Arial"/>
      <family val="2"/>
    </font>
    <font>
      <sz val="20"/>
      <color rgb="FFFF0000"/>
      <name val="Arial"/>
      <family val="2"/>
    </font>
    <font>
      <b/>
      <sz val="12"/>
      <color rgb="FFFF0000"/>
      <name val="Arial"/>
      <family val="2"/>
    </font>
    <font>
      <b/>
      <sz val="10"/>
      <color rgb="FFFF0000"/>
      <name val="Arial"/>
      <family val="2"/>
    </font>
    <font>
      <b/>
      <sz val="10"/>
      <color theme="1"/>
      <name val="Arial"/>
      <family val="2"/>
    </font>
    <font>
      <b/>
      <sz val="16"/>
      <color theme="1"/>
      <name val="Arial"/>
      <family val="2"/>
    </font>
    <font>
      <b/>
      <i/>
      <sz val="10"/>
      <name val="Arial"/>
      <family val="2"/>
    </font>
    <font>
      <b/>
      <i/>
      <sz val="10"/>
      <color theme="1"/>
      <name val="Arial"/>
      <family val="2"/>
    </font>
    <font>
      <b/>
      <sz val="16"/>
      <color theme="0"/>
      <name val="Arial Narrow"/>
      <family val="2"/>
    </font>
    <font>
      <b/>
      <sz val="12"/>
      <color theme="0"/>
      <name val="Arial Narrow"/>
      <family val="2"/>
    </font>
    <font>
      <b/>
      <sz val="10"/>
      <color theme="0"/>
      <name val="Arial Narrow"/>
      <family val="2"/>
    </font>
    <font>
      <sz val="12"/>
      <color theme="1"/>
      <name val="Arial"/>
      <family val="2"/>
    </font>
    <font>
      <sz val="10"/>
      <color theme="1"/>
      <name val="Calibri"/>
      <family val="2"/>
      <scheme val="minor"/>
    </font>
    <font>
      <sz val="10"/>
      <color theme="0"/>
      <name val="Arial Narrow"/>
      <family val="2"/>
    </font>
    <font>
      <sz val="14"/>
      <color theme="0"/>
      <name val="Arial"/>
      <family val="2"/>
    </font>
    <font>
      <sz val="10"/>
      <color theme="1"/>
      <name val="Arial Narrow"/>
      <family val="2"/>
    </font>
    <font>
      <b/>
      <sz val="11"/>
      <name val="Arial Narrow"/>
      <family val="2"/>
    </font>
    <font>
      <sz val="10"/>
      <name val="Arial Narrow"/>
      <family val="2"/>
    </font>
    <font>
      <sz val="16"/>
      <color theme="0"/>
      <name val="Calibri"/>
      <family val="2"/>
      <scheme val="minor"/>
    </font>
    <font>
      <b/>
      <sz val="18"/>
      <name val="Calibri"/>
      <family val="2"/>
      <scheme val="minor"/>
    </font>
    <font>
      <sz val="10"/>
      <name val="Arial"/>
      <family val="2"/>
    </font>
    <font>
      <b/>
      <sz val="14"/>
      <name val="Arial Narrow"/>
      <family val="2"/>
    </font>
    <font>
      <b/>
      <u/>
      <sz val="11"/>
      <name val="Arial Narrow"/>
      <family val="2"/>
    </font>
    <font>
      <b/>
      <sz val="10"/>
      <name val="Arial Narrow"/>
      <family val="2"/>
    </font>
    <font>
      <sz val="12"/>
      <name val="Times New Roman"/>
      <family val="1"/>
    </font>
    <font>
      <b/>
      <sz val="9"/>
      <name val="Arial Narrow"/>
      <family val="2"/>
    </font>
    <font>
      <sz val="9"/>
      <name val="Arial Narrow"/>
      <family val="2"/>
    </font>
    <font>
      <sz val="11"/>
      <name val="Arial Narrow"/>
      <family val="2"/>
    </font>
    <font>
      <b/>
      <sz val="10"/>
      <color theme="1"/>
      <name val="Arial Narrow"/>
      <family val="2"/>
    </font>
    <font>
      <sz val="15"/>
      <name val="Arial Narrow"/>
      <family val="2"/>
    </font>
    <font>
      <sz val="15"/>
      <color theme="1"/>
      <name val="Arial Narrow"/>
      <family val="2"/>
    </font>
    <font>
      <sz val="8"/>
      <name val="Calibri"/>
      <family val="2"/>
      <scheme val="minor"/>
    </font>
    <font>
      <b/>
      <sz val="18"/>
      <color theme="1"/>
      <name val="Calibri"/>
      <family val="2"/>
      <scheme val="minor"/>
    </font>
    <font>
      <b/>
      <sz val="20"/>
      <name val="Arial"/>
      <family val="2"/>
    </font>
    <font>
      <sz val="18"/>
      <name val="Arial Narrow"/>
      <family val="2"/>
    </font>
    <font>
      <sz val="12"/>
      <color theme="0"/>
      <name val="Arial Narrow"/>
      <family val="2"/>
    </font>
    <font>
      <b/>
      <sz val="14"/>
      <color theme="0"/>
      <name val="Arial Narrow"/>
      <family val="2"/>
    </font>
    <font>
      <sz val="12"/>
      <name val="Arial Narrow"/>
      <family val="2"/>
    </font>
    <font>
      <sz val="12"/>
      <color theme="1"/>
      <name val="Arial Narrow"/>
      <family val="2"/>
    </font>
    <font>
      <sz val="14"/>
      <color theme="1"/>
      <name val="Calibri"/>
      <family val="2"/>
      <scheme val="minor"/>
    </font>
    <font>
      <b/>
      <sz val="14"/>
      <name val="Arial"/>
      <family val="2"/>
    </font>
    <font>
      <sz val="18"/>
      <color theme="1"/>
      <name val="Arial"/>
      <family val="2"/>
    </font>
    <font>
      <b/>
      <sz val="24"/>
      <color theme="0"/>
      <name val="Arial Narrow"/>
      <family val="2"/>
    </font>
    <font>
      <b/>
      <sz val="20"/>
      <color theme="0"/>
      <name val="Arial"/>
      <family val="2"/>
    </font>
    <font>
      <sz val="20"/>
      <color theme="1"/>
      <name val="Calibri"/>
      <family val="2"/>
      <scheme val="minor"/>
    </font>
    <font>
      <b/>
      <u/>
      <sz val="20"/>
      <color theme="0"/>
      <name val="Arial"/>
      <family val="2"/>
    </font>
    <font>
      <sz val="25"/>
      <color theme="1"/>
      <name val="Calibri"/>
      <family val="2"/>
      <scheme val="minor"/>
    </font>
    <font>
      <sz val="25"/>
      <color theme="1"/>
      <name val="Arial Narrow"/>
      <family val="2"/>
    </font>
    <font>
      <sz val="12"/>
      <name val="Arial"/>
      <family val="2"/>
    </font>
    <font>
      <sz val="16"/>
      <color theme="1"/>
      <name val="Calibri"/>
      <family val="2"/>
      <scheme val="minor"/>
    </font>
    <font>
      <sz val="24"/>
      <color theme="1"/>
      <name val="Calibri"/>
      <family val="2"/>
      <scheme val="minor"/>
    </font>
    <font>
      <sz val="16"/>
      <name val="Arial"/>
      <family val="2"/>
    </font>
  </fonts>
  <fills count="17">
    <fill>
      <patternFill patternType="none"/>
    </fill>
    <fill>
      <patternFill patternType="gray125"/>
    </fill>
    <fill>
      <patternFill patternType="solid">
        <fgColor theme="3" tint="0.39997558519241921"/>
        <bgColor indexed="64"/>
      </patternFill>
    </fill>
    <fill>
      <patternFill patternType="solid">
        <fgColor theme="3" tint="0.59999389629810485"/>
        <bgColor indexed="64"/>
      </patternFill>
    </fill>
    <fill>
      <patternFill patternType="solid">
        <fgColor theme="0"/>
        <bgColor indexed="64"/>
      </patternFill>
    </fill>
    <fill>
      <patternFill patternType="solid">
        <fgColor theme="4"/>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
      <patternFill patternType="solid">
        <fgColor theme="9" tint="0.39997558519241921"/>
        <bgColor indexed="64"/>
      </patternFill>
    </fill>
  </fills>
  <borders count="94">
    <border>
      <left/>
      <right/>
      <top/>
      <bottom/>
      <diagonal/>
    </border>
    <border>
      <left/>
      <right/>
      <top style="medium">
        <color auto="1"/>
      </top>
      <bottom style="medium">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auto="1"/>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auto="1"/>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thin">
        <color rgb="FF81829A"/>
      </top>
      <bottom style="thin">
        <color indexed="64"/>
      </bottom>
      <diagonal/>
    </border>
    <border>
      <left/>
      <right/>
      <top style="thin">
        <color rgb="FF81829A"/>
      </top>
      <bottom style="thin">
        <color indexed="64"/>
      </bottom>
      <diagonal/>
    </border>
    <border>
      <left/>
      <right style="thin">
        <color rgb="FF81829A"/>
      </right>
      <top style="thin">
        <color rgb="FF81829A"/>
      </top>
      <bottom style="thin">
        <color indexed="64"/>
      </bottom>
      <diagonal/>
    </border>
    <border>
      <left/>
      <right/>
      <top style="thin">
        <color auto="1"/>
      </top>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diagonal/>
    </border>
    <border>
      <left style="hair">
        <color indexed="64"/>
      </left>
      <right style="medium">
        <color indexed="64"/>
      </right>
      <top style="hair">
        <color indexed="64"/>
      </top>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right/>
      <top style="medium">
        <color indexed="64"/>
      </top>
      <bottom style="thin">
        <color indexed="64"/>
      </bottom>
      <diagonal/>
    </border>
    <border>
      <left style="dashed">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right/>
      <top style="dashed">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thin">
        <color indexed="64"/>
      </top>
      <bottom style="hair">
        <color indexed="64"/>
      </bottom>
      <diagonal/>
    </border>
    <border>
      <left/>
      <right style="hair">
        <color indexed="64"/>
      </right>
      <top style="thin">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5">
    <xf numFmtId="0" fontId="0" fillId="0" borderId="0"/>
    <xf numFmtId="9" fontId="3" fillId="0" borderId="0" applyFont="0" applyFill="0" applyBorder="0" applyAlignment="0" applyProtection="0"/>
    <xf numFmtId="0" fontId="21" fillId="0" borderId="0"/>
    <xf numFmtId="0" fontId="29" fillId="0" borderId="0"/>
    <xf numFmtId="0" fontId="33" fillId="0" borderId="0"/>
  </cellStyleXfs>
  <cellXfs count="333">
    <xf numFmtId="0" fontId="0" fillId="0" borderId="0" xfId="0"/>
    <xf numFmtId="0" fontId="0" fillId="4" borderId="0" xfId="0" applyFill="1"/>
    <xf numFmtId="0" fontId="0" fillId="4" borderId="17" xfId="0" applyFill="1" applyBorder="1"/>
    <xf numFmtId="0" fontId="0" fillId="4" borderId="18" xfId="0" applyFill="1" applyBorder="1"/>
    <xf numFmtId="0" fontId="0" fillId="4" borderId="19" xfId="0" applyFill="1" applyBorder="1"/>
    <xf numFmtId="0" fontId="0" fillId="4" borderId="20" xfId="0" applyFill="1" applyBorder="1"/>
    <xf numFmtId="0" fontId="0" fillId="4" borderId="0" xfId="0" applyFill="1" applyBorder="1"/>
    <xf numFmtId="0" fontId="7" fillId="4" borderId="0" xfId="0" applyFont="1" applyFill="1" applyBorder="1" applyAlignment="1">
      <alignment horizontal="center"/>
    </xf>
    <xf numFmtId="0" fontId="0" fillId="4" borderId="21" xfId="0" applyFill="1" applyBorder="1"/>
    <xf numFmtId="164" fontId="7" fillId="4" borderId="0" xfId="0" applyNumberFormat="1" applyFont="1" applyFill="1" applyBorder="1" applyAlignment="1">
      <alignment horizontal="center"/>
    </xf>
    <xf numFmtId="0" fontId="8" fillId="4" borderId="0" xfId="0" applyFont="1" applyFill="1" applyBorder="1" applyAlignment="1">
      <alignment vertical="center"/>
    </xf>
    <xf numFmtId="0" fontId="10" fillId="4" borderId="0" xfId="0" applyFont="1" applyFill="1" applyBorder="1" applyAlignment="1">
      <alignment horizontal="center" vertical="center"/>
    </xf>
    <xf numFmtId="0" fontId="11" fillId="4" borderId="0" xfId="0" applyFont="1" applyFill="1" applyBorder="1"/>
    <xf numFmtId="0" fontId="9" fillId="4" borderId="0" xfId="0" applyFont="1" applyFill="1" applyBorder="1" applyAlignment="1">
      <alignment horizontal="center" vertical="center"/>
    </xf>
    <xf numFmtId="0" fontId="2" fillId="4" borderId="30" xfId="0" applyFont="1" applyFill="1" applyBorder="1" applyAlignment="1">
      <alignment horizontal="center" vertical="center"/>
    </xf>
    <xf numFmtId="0" fontId="2" fillId="4" borderId="0" xfId="0" applyFont="1" applyFill="1" applyBorder="1" applyAlignment="1">
      <alignment horizontal="center" vertical="center"/>
    </xf>
    <xf numFmtId="0" fontId="12" fillId="4" borderId="0" xfId="0" applyFont="1" applyFill="1" applyBorder="1" applyAlignment="1">
      <alignment wrapText="1"/>
    </xf>
    <xf numFmtId="0" fontId="13" fillId="4" borderId="0" xfId="0" applyFont="1" applyFill="1" applyAlignment="1">
      <alignment wrapText="1"/>
    </xf>
    <xf numFmtId="0" fontId="0" fillId="0" borderId="0" xfId="0" applyBorder="1"/>
    <xf numFmtId="0" fontId="5" fillId="0" borderId="0" xfId="0" applyFont="1" applyFill="1" applyBorder="1" applyAlignment="1">
      <alignment vertical="center"/>
    </xf>
    <xf numFmtId="9" fontId="2" fillId="0" borderId="0" xfId="0" applyNumberFormat="1" applyFont="1" applyFill="1" applyBorder="1" applyAlignment="1">
      <alignment vertical="center"/>
    </xf>
    <xf numFmtId="0" fontId="2" fillId="4" borderId="21" xfId="0" applyFont="1" applyFill="1" applyBorder="1" applyAlignment="1">
      <alignment vertical="center"/>
    </xf>
    <xf numFmtId="0" fontId="2" fillId="4" borderId="0" xfId="0" applyFont="1" applyFill="1" applyBorder="1" applyAlignment="1">
      <alignment vertical="center"/>
    </xf>
    <xf numFmtId="0" fontId="0" fillId="0" borderId="0" xfId="0" applyFill="1" applyBorder="1"/>
    <xf numFmtId="0" fontId="0" fillId="0" borderId="3" xfId="0" applyBorder="1"/>
    <xf numFmtId="0" fontId="5" fillId="4" borderId="0" xfId="0" applyFont="1" applyFill="1" applyBorder="1" applyAlignment="1">
      <alignment vertical="center"/>
    </xf>
    <xf numFmtId="0" fontId="2" fillId="4" borderId="0" xfId="0" applyFont="1" applyFill="1" applyBorder="1" applyAlignment="1">
      <alignment horizontal="left" vertical="center"/>
    </xf>
    <xf numFmtId="0" fontId="15" fillId="4" borderId="0" xfId="0" applyFont="1" applyFill="1" applyBorder="1" applyAlignment="1">
      <alignment vertical="center"/>
    </xf>
    <xf numFmtId="0" fontId="16" fillId="4" borderId="0" xfId="0" applyFont="1" applyFill="1" applyBorder="1"/>
    <xf numFmtId="0" fontId="0" fillId="4" borderId="34" xfId="0" applyFill="1" applyBorder="1"/>
    <xf numFmtId="0" fontId="0" fillId="4" borderId="35" xfId="0" applyFill="1" applyBorder="1"/>
    <xf numFmtId="0" fontId="0" fillId="4" borderId="36" xfId="0" applyFill="1" applyBorder="1"/>
    <xf numFmtId="0" fontId="20" fillId="0" borderId="0" xfId="0" applyFont="1" applyBorder="1" applyAlignment="1">
      <alignment horizontal="center" wrapText="1"/>
    </xf>
    <xf numFmtId="0" fontId="5" fillId="4" borderId="0" xfId="0" applyFont="1" applyFill="1" applyBorder="1" applyAlignment="1">
      <alignment horizontal="center" vertical="center" wrapText="1"/>
    </xf>
    <xf numFmtId="0" fontId="4" fillId="4" borderId="0" xfId="0" applyFont="1" applyFill="1" applyBorder="1"/>
    <xf numFmtId="0" fontId="5" fillId="4" borderId="0" xfId="0" applyFont="1" applyFill="1" applyBorder="1" applyAlignment="1">
      <alignment horizontal="left" vertical="center"/>
    </xf>
    <xf numFmtId="9" fontId="5" fillId="4" borderId="0" xfId="0" applyNumberFormat="1" applyFont="1" applyFill="1" applyBorder="1" applyAlignment="1">
      <alignment horizontal="center" vertical="center"/>
    </xf>
    <xf numFmtId="0" fontId="4" fillId="4" borderId="0" xfId="0" applyFont="1" applyFill="1" applyBorder="1" applyAlignment="1">
      <alignment horizontal="left"/>
    </xf>
    <xf numFmtId="0" fontId="22" fillId="0" borderId="0" xfId="2" applyFont="1" applyFill="1" applyAlignment="1" applyProtection="1">
      <alignment vertical="center"/>
      <protection locked="0"/>
    </xf>
    <xf numFmtId="49" fontId="24" fillId="4" borderId="0" xfId="2" applyNumberFormat="1" applyFont="1" applyFill="1" applyAlignment="1" applyProtection="1">
      <alignment vertical="center"/>
      <protection locked="0"/>
    </xf>
    <xf numFmtId="0" fontId="24" fillId="4" borderId="0" xfId="2" applyFont="1" applyFill="1" applyAlignment="1" applyProtection="1">
      <alignment vertical="center"/>
      <protection locked="0"/>
    </xf>
    <xf numFmtId="9" fontId="26" fillId="4" borderId="0" xfId="2" applyNumberFormat="1" applyFont="1" applyFill="1" applyAlignment="1" applyProtection="1">
      <alignment vertical="center"/>
      <protection locked="0"/>
    </xf>
    <xf numFmtId="9" fontId="22" fillId="4" borderId="0" xfId="1" applyFont="1" applyFill="1" applyAlignment="1" applyProtection="1">
      <alignment vertical="center"/>
      <protection locked="0"/>
    </xf>
    <xf numFmtId="9" fontId="22" fillId="4" borderId="0" xfId="2" applyNumberFormat="1" applyFont="1" applyFill="1" applyAlignment="1" applyProtection="1">
      <alignment vertical="center"/>
      <protection locked="0"/>
    </xf>
    <xf numFmtId="0" fontId="26" fillId="4" borderId="0" xfId="2" applyFont="1" applyFill="1" applyAlignment="1" applyProtection="1">
      <alignment vertical="center"/>
      <protection locked="0"/>
    </xf>
    <xf numFmtId="0" fontId="26" fillId="0" borderId="0" xfId="3" applyFont="1" applyProtection="1"/>
    <xf numFmtId="0" fontId="7" fillId="4" borderId="0" xfId="0" applyFont="1" applyFill="1"/>
    <xf numFmtId="0" fontId="7" fillId="0" borderId="0" xfId="0" applyFont="1"/>
    <xf numFmtId="0" fontId="36" fillId="0" borderId="0" xfId="0" applyFont="1" applyAlignment="1">
      <alignment vertical="top"/>
    </xf>
    <xf numFmtId="49" fontId="36" fillId="0" borderId="0" xfId="0" applyNumberFormat="1" applyFont="1" applyAlignment="1">
      <alignment horizontal="center" vertical="top"/>
    </xf>
    <xf numFmtId="0" fontId="22" fillId="4" borderId="0" xfId="2" applyFont="1" applyFill="1" applyAlignment="1" applyProtection="1">
      <alignment vertical="center"/>
      <protection locked="0"/>
    </xf>
    <xf numFmtId="0" fontId="26" fillId="4" borderId="0" xfId="3" applyFont="1" applyFill="1" applyBorder="1" applyProtection="1"/>
    <xf numFmtId="0" fontId="26" fillId="4" borderId="59" xfId="3" applyFont="1" applyFill="1" applyBorder="1" applyAlignment="1" applyProtection="1">
      <alignment vertical="top" wrapText="1"/>
    </xf>
    <xf numFmtId="0" fontId="26" fillId="4" borderId="0" xfId="3" applyFont="1" applyFill="1" applyBorder="1" applyAlignment="1" applyProtection="1">
      <alignment vertical="top" wrapText="1"/>
    </xf>
    <xf numFmtId="0" fontId="26" fillId="4" borderId="60" xfId="3" applyFont="1" applyFill="1" applyBorder="1" applyAlignment="1" applyProtection="1">
      <alignment vertical="top" wrapText="1"/>
    </xf>
    <xf numFmtId="0" fontId="26" fillId="4" borderId="59" xfId="3" applyFont="1" applyFill="1" applyBorder="1" applyAlignment="1" applyProtection="1">
      <alignment horizontal="left" vertical="top"/>
    </xf>
    <xf numFmtId="0" fontId="26" fillId="4" borderId="60" xfId="3" applyFont="1" applyFill="1" applyBorder="1" applyAlignment="1" applyProtection="1">
      <alignment horizontal="left" vertical="top"/>
    </xf>
    <xf numFmtId="0" fontId="26" fillId="4" borderId="59" xfId="3" applyFont="1" applyFill="1" applyBorder="1" applyProtection="1"/>
    <xf numFmtId="0" fontId="34" fillId="4" borderId="0" xfId="4" applyFont="1" applyFill="1" applyBorder="1" applyAlignment="1" applyProtection="1">
      <alignment horizontal="left" vertical="top" wrapText="1" readingOrder="1"/>
    </xf>
    <xf numFmtId="0" fontId="26" fillId="4" borderId="60" xfId="3" applyFont="1" applyFill="1" applyBorder="1" applyProtection="1"/>
    <xf numFmtId="0" fontId="26" fillId="4" borderId="72" xfId="3" applyFont="1" applyFill="1" applyBorder="1" applyProtection="1"/>
    <xf numFmtId="0" fontId="26" fillId="4" borderId="73" xfId="3" applyFont="1" applyFill="1" applyBorder="1" applyProtection="1"/>
    <xf numFmtId="0" fontId="26" fillId="4" borderId="74" xfId="3" applyFont="1" applyFill="1" applyBorder="1" applyProtection="1"/>
    <xf numFmtId="0" fontId="34" fillId="4" borderId="0" xfId="0" applyFont="1" applyFill="1" applyBorder="1" applyAlignment="1" applyProtection="1">
      <alignment horizontal="left" vertical="center" wrapText="1"/>
    </xf>
    <xf numFmtId="0" fontId="35" fillId="4" borderId="0" xfId="0" applyFont="1" applyFill="1" applyBorder="1" applyAlignment="1" applyProtection="1">
      <alignment horizontal="left" vertical="top" wrapText="1"/>
    </xf>
    <xf numFmtId="0" fontId="26" fillId="4" borderId="0" xfId="3" quotePrefix="1" applyFont="1" applyFill="1" applyBorder="1" applyAlignment="1" applyProtection="1">
      <alignment horizontal="left" vertical="center" wrapText="1"/>
    </xf>
    <xf numFmtId="0" fontId="26" fillId="4" borderId="60" xfId="3" applyFont="1" applyFill="1" applyBorder="1" applyAlignment="1" applyProtection="1"/>
    <xf numFmtId="0" fontId="32" fillId="4" borderId="0" xfId="3" applyFont="1" applyFill="1" applyBorder="1" applyAlignment="1" applyProtection="1">
      <alignment horizontal="left" vertical="center" wrapText="1"/>
    </xf>
    <xf numFmtId="0" fontId="26" fillId="4" borderId="0" xfId="3" applyFont="1" applyFill="1" applyBorder="1" applyAlignment="1" applyProtection="1">
      <alignment horizontal="left" vertical="center" wrapText="1"/>
    </xf>
    <xf numFmtId="0" fontId="7" fillId="4" borderId="0" xfId="0" applyFont="1" applyFill="1" applyAlignment="1">
      <alignment vertical="center"/>
    </xf>
    <xf numFmtId="0" fontId="7" fillId="0" borderId="0" xfId="0" applyFont="1" applyAlignment="1">
      <alignment vertical="center"/>
    </xf>
    <xf numFmtId="0" fontId="8" fillId="4" borderId="0" xfId="0" applyFont="1" applyFill="1"/>
    <xf numFmtId="0" fontId="8" fillId="4" borderId="0" xfId="0" applyNumberFormat="1" applyFont="1" applyFill="1"/>
    <xf numFmtId="0" fontId="8" fillId="0" borderId="0" xfId="0" applyFont="1" applyAlignment="1">
      <alignment vertical="top"/>
    </xf>
    <xf numFmtId="0" fontId="8" fillId="0" borderId="0" xfId="0" applyNumberFormat="1" applyFont="1" applyAlignment="1">
      <alignment vertical="top"/>
    </xf>
    <xf numFmtId="0" fontId="8" fillId="0" borderId="0" xfId="0" applyNumberFormat="1" applyFont="1"/>
    <xf numFmtId="0" fontId="44" fillId="9" borderId="11" xfId="0" applyFont="1" applyFill="1" applyBorder="1" applyAlignment="1">
      <alignment horizontal="center" vertical="top" wrapText="1"/>
    </xf>
    <xf numFmtId="49" fontId="45" fillId="5" borderId="7" xfId="0" applyNumberFormat="1" applyFont="1" applyFill="1" applyBorder="1" applyAlignment="1">
      <alignment horizontal="center" vertical="center" wrapText="1"/>
    </xf>
    <xf numFmtId="0" fontId="45" fillId="5" borderId="7" xfId="0" applyFont="1" applyFill="1" applyBorder="1" applyAlignment="1">
      <alignment horizontal="center" vertical="center" wrapText="1"/>
    </xf>
    <xf numFmtId="0" fontId="45" fillId="5" borderId="10" xfId="0" applyFont="1" applyFill="1" applyBorder="1" applyAlignment="1">
      <alignment horizontal="center" vertical="center" wrapText="1"/>
    </xf>
    <xf numFmtId="0" fontId="45" fillId="5" borderId="5" xfId="0" applyFont="1" applyFill="1" applyBorder="1" applyAlignment="1">
      <alignment horizontal="center" vertical="center" wrapText="1"/>
    </xf>
    <xf numFmtId="0" fontId="46" fillId="0" borderId="2" xfId="0" applyFont="1" applyBorder="1" applyAlignment="1">
      <alignment horizontal="center" vertical="center" wrapText="1"/>
    </xf>
    <xf numFmtId="0" fontId="46" fillId="0" borderId="2" xfId="0" applyFont="1" applyBorder="1" applyAlignment="1">
      <alignment horizontal="left" vertical="center" wrapText="1"/>
    </xf>
    <xf numFmtId="0" fontId="46" fillId="0" borderId="3" xfId="0" applyFont="1" applyBorder="1" applyAlignment="1">
      <alignment horizontal="center" vertical="center" wrapText="1"/>
    </xf>
    <xf numFmtId="0" fontId="47" fillId="0" borderId="3" xfId="0" applyFont="1" applyFill="1" applyBorder="1" applyAlignment="1">
      <alignment horizontal="left" vertical="center" wrapText="1"/>
    </xf>
    <xf numFmtId="0" fontId="46" fillId="0" borderId="3" xfId="0" applyFont="1" applyBorder="1" applyAlignment="1">
      <alignment horizontal="left" vertical="center" wrapText="1"/>
    </xf>
    <xf numFmtId="0" fontId="46" fillId="0" borderId="4" xfId="0" applyFont="1" applyBorder="1" applyAlignment="1">
      <alignment horizontal="center" vertical="center" wrapText="1"/>
    </xf>
    <xf numFmtId="0" fontId="46" fillId="0" borderId="4" xfId="0" applyFont="1" applyBorder="1" applyAlignment="1">
      <alignment horizontal="left" vertical="center" wrapText="1"/>
    </xf>
    <xf numFmtId="0" fontId="46" fillId="0" borderId="3" xfId="0" applyFont="1" applyFill="1" applyBorder="1" applyAlignment="1">
      <alignment horizontal="center" vertical="center" wrapText="1"/>
    </xf>
    <xf numFmtId="0" fontId="46" fillId="0" borderId="2" xfId="0" applyFont="1" applyFill="1" applyBorder="1" applyAlignment="1">
      <alignment horizontal="left" vertical="center" wrapText="1"/>
    </xf>
    <xf numFmtId="0" fontId="9" fillId="13" borderId="3" xfId="0" applyFont="1" applyFill="1" applyBorder="1" applyAlignment="1">
      <alignment horizontal="center" vertical="center" wrapText="1"/>
    </xf>
    <xf numFmtId="0" fontId="50" fillId="0" borderId="0" xfId="0" applyFont="1" applyBorder="1" applyAlignment="1">
      <alignment horizontal="center" wrapText="1"/>
    </xf>
    <xf numFmtId="0" fontId="9" fillId="15"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51" fillId="2" borderId="3" xfId="0" applyFont="1" applyFill="1" applyBorder="1" applyAlignment="1">
      <alignment horizontal="center" vertical="center"/>
    </xf>
    <xf numFmtId="0" fontId="42" fillId="0" borderId="3" xfId="0" applyFont="1" applyFill="1" applyBorder="1" applyAlignment="1">
      <alignment horizontal="center" vertical="center"/>
    </xf>
    <xf numFmtId="0" fontId="53" fillId="0" borderId="0" xfId="0" applyFont="1" applyBorder="1" applyAlignment="1">
      <alignment horizontal="center"/>
    </xf>
    <xf numFmtId="0" fontId="52" fillId="12" borderId="31"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25" fillId="4" borderId="0" xfId="2" applyNumberFormat="1" applyFont="1" applyFill="1" applyBorder="1" applyAlignment="1" applyProtection="1">
      <alignment vertical="center" wrapText="1"/>
    </xf>
    <xf numFmtId="0" fontId="35" fillId="4" borderId="0" xfId="2" applyFont="1" applyFill="1" applyBorder="1" applyAlignment="1" applyProtection="1">
      <alignment vertical="center" wrapText="1"/>
    </xf>
    <xf numFmtId="0" fontId="36" fillId="0" borderId="0" xfId="0" applyNumberFormat="1" applyFont="1" applyAlignment="1" applyProtection="1">
      <alignment horizontal="center" vertical="top"/>
      <protection hidden="1"/>
    </xf>
    <xf numFmtId="0" fontId="38" fillId="0" borderId="79" xfId="0" applyFont="1" applyBorder="1" applyAlignment="1" applyProtection="1">
      <alignment horizontal="center" vertical="center" wrapText="1"/>
      <protection hidden="1"/>
    </xf>
    <xf numFmtId="0" fontId="8" fillId="0" borderId="0" xfId="0" applyNumberFormat="1" applyFont="1" applyAlignment="1" applyProtection="1">
      <alignment horizontal="center" vertical="top"/>
      <protection hidden="1"/>
    </xf>
    <xf numFmtId="0" fontId="39" fillId="0" borderId="9" xfId="0" applyFont="1" applyFill="1" applyBorder="1" applyAlignment="1" applyProtection="1">
      <alignment horizontal="center" vertical="center" wrapText="1"/>
      <protection hidden="1"/>
    </xf>
    <xf numFmtId="49" fontId="8" fillId="0" borderId="0" xfId="0" applyNumberFormat="1" applyFont="1" applyAlignment="1" applyProtection="1">
      <alignment horizontal="center" vertical="top"/>
      <protection hidden="1"/>
    </xf>
    <xf numFmtId="0" fontId="38" fillId="0" borderId="9" xfId="0" applyFont="1" applyBorder="1" applyAlignment="1" applyProtection="1">
      <alignment horizontal="center" vertical="center" wrapText="1"/>
      <protection hidden="1"/>
    </xf>
    <xf numFmtId="0" fontId="38" fillId="0" borderId="80" xfId="0" applyFont="1" applyBorder="1" applyAlignment="1" applyProtection="1">
      <alignment horizontal="center" vertical="center" wrapText="1"/>
      <protection hidden="1"/>
    </xf>
    <xf numFmtId="0" fontId="8" fillId="0" borderId="0" xfId="0" applyNumberFormat="1" applyFont="1" applyAlignment="1" applyProtection="1">
      <alignment vertical="top"/>
      <protection hidden="1"/>
    </xf>
    <xf numFmtId="0" fontId="38" fillId="0" borderId="79" xfId="0" applyFont="1" applyFill="1" applyBorder="1" applyAlignment="1" applyProtection="1">
      <alignment horizontal="center" vertical="center" wrapText="1"/>
      <protection hidden="1"/>
    </xf>
    <xf numFmtId="0" fontId="43" fillId="0" borderId="2" xfId="0" applyFont="1" applyBorder="1" applyAlignment="1" applyProtection="1">
      <alignment horizontal="center" vertical="center" wrapText="1"/>
      <protection locked="0"/>
    </xf>
    <xf numFmtId="0" fontId="36" fillId="0" borderId="79" xfId="0" applyFont="1" applyBorder="1" applyAlignment="1" applyProtection="1">
      <alignment horizontal="left" vertical="center" wrapText="1"/>
      <protection locked="0"/>
    </xf>
    <xf numFmtId="0" fontId="43" fillId="0" borderId="3"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left" vertical="center" wrapText="1"/>
      <protection locked="0"/>
    </xf>
    <xf numFmtId="0" fontId="43" fillId="0" borderId="3" xfId="0" applyFont="1" applyBorder="1" applyAlignment="1" applyProtection="1">
      <alignment horizontal="center" vertical="center" wrapText="1"/>
      <protection locked="0"/>
    </xf>
    <xf numFmtId="0" fontId="36" fillId="0" borderId="9" xfId="0" applyFont="1" applyBorder="1" applyAlignment="1" applyProtection="1">
      <alignment horizontal="left" vertical="center" wrapText="1"/>
      <protection locked="0"/>
    </xf>
    <xf numFmtId="0" fontId="43" fillId="0" borderId="4" xfId="0" applyFont="1" applyBorder="1" applyAlignment="1" applyProtection="1">
      <alignment horizontal="center" vertical="center" wrapText="1"/>
      <protection locked="0"/>
    </xf>
    <xf numFmtId="0" fontId="36" fillId="0" borderId="80" xfId="0" applyFont="1" applyBorder="1" applyAlignment="1" applyProtection="1">
      <alignment horizontal="left" vertical="center" wrapText="1"/>
      <protection locked="0"/>
    </xf>
    <xf numFmtId="0" fontId="43" fillId="0" borderId="2" xfId="0" applyFont="1" applyFill="1" applyBorder="1" applyAlignment="1" applyProtection="1">
      <alignment horizontal="center" vertical="center" wrapText="1"/>
      <protection locked="0"/>
    </xf>
    <xf numFmtId="0" fontId="36" fillId="0" borderId="79" xfId="0" applyFont="1" applyFill="1" applyBorder="1" applyAlignment="1" applyProtection="1">
      <alignment horizontal="left" vertical="center" wrapText="1"/>
      <protection locked="0"/>
    </xf>
    <xf numFmtId="0" fontId="19" fillId="2" borderId="82" xfId="2" applyFont="1" applyFill="1" applyBorder="1" applyAlignment="1" applyProtection="1">
      <alignment horizontal="center" vertical="center"/>
    </xf>
    <xf numFmtId="0" fontId="19" fillId="2" borderId="82" xfId="2" applyFont="1" applyFill="1" applyBorder="1" applyAlignment="1" applyProtection="1">
      <alignment horizontal="center" vertical="center" wrapText="1"/>
    </xf>
    <xf numFmtId="0" fontId="1" fillId="0" borderId="2" xfId="0" applyFont="1" applyBorder="1" applyAlignment="1" applyProtection="1">
      <alignment horizontal="left" vertical="center" wrapText="1"/>
      <protection hidden="1"/>
    </xf>
    <xf numFmtId="0" fontId="0" fillId="0" borderId="2" xfId="0" applyBorder="1" applyAlignment="1" applyProtection="1">
      <alignment horizontal="center" vertical="center"/>
      <protection hidden="1"/>
    </xf>
    <xf numFmtId="0" fontId="40" fillId="0" borderId="84" xfId="0" applyFont="1" applyFill="1" applyBorder="1" applyAlignment="1" applyProtection="1">
      <alignment vertical="center" wrapText="1"/>
      <protection hidden="1"/>
    </xf>
    <xf numFmtId="0" fontId="1" fillId="0" borderId="3" xfId="0" applyFont="1" applyBorder="1" applyAlignment="1" applyProtection="1">
      <alignment horizontal="left" vertical="center" wrapText="1"/>
      <protection hidden="1"/>
    </xf>
    <xf numFmtId="0" fontId="0" fillId="0" borderId="3" xfId="0" applyBorder="1" applyAlignment="1" applyProtection="1">
      <alignment horizontal="center" vertical="center"/>
      <protection hidden="1"/>
    </xf>
    <xf numFmtId="0" fontId="40" fillId="0" borderId="85" xfId="0" applyFont="1" applyFill="1" applyBorder="1" applyAlignment="1" applyProtection="1">
      <alignment vertical="center" wrapText="1"/>
      <protection hidden="1"/>
    </xf>
    <xf numFmtId="0" fontId="1" fillId="0" borderId="4" xfId="0" applyFont="1" applyBorder="1" applyAlignment="1" applyProtection="1">
      <alignment horizontal="left" vertical="center" wrapText="1"/>
      <protection hidden="1"/>
    </xf>
    <xf numFmtId="0" fontId="0" fillId="0" borderId="4" xfId="0" applyBorder="1" applyAlignment="1" applyProtection="1">
      <alignment horizontal="center" vertical="center"/>
      <protection hidden="1"/>
    </xf>
    <xf numFmtId="0" fontId="40" fillId="0" borderId="86" xfId="0" applyFont="1" applyFill="1" applyBorder="1" applyAlignment="1" applyProtection="1">
      <alignment vertical="center" wrapText="1"/>
      <protection hidden="1"/>
    </xf>
    <xf numFmtId="0" fontId="1" fillId="0" borderId="7" xfId="0" applyFont="1" applyBorder="1" applyAlignment="1" applyProtection="1">
      <alignment horizontal="left" vertical="center" wrapText="1"/>
      <protection hidden="1"/>
    </xf>
    <xf numFmtId="0" fontId="0" fillId="0" borderId="7" xfId="0" applyBorder="1" applyAlignment="1" applyProtection="1">
      <alignment horizontal="center" vertical="center"/>
      <protection hidden="1"/>
    </xf>
    <xf numFmtId="0" fontId="40" fillId="0" borderId="5" xfId="0" applyFont="1" applyFill="1" applyBorder="1" applyAlignment="1" applyProtection="1">
      <alignment vertical="center" wrapText="1"/>
      <protection hidden="1"/>
    </xf>
    <xf numFmtId="0" fontId="1" fillId="0" borderId="6" xfId="0" applyFont="1" applyBorder="1" applyAlignment="1" applyProtection="1">
      <alignment horizontal="left" vertical="center" wrapText="1"/>
      <protection hidden="1"/>
    </xf>
    <xf numFmtId="0" fontId="0" fillId="0" borderId="6" xfId="0" applyBorder="1" applyAlignment="1" applyProtection="1">
      <alignment horizontal="center" vertical="center"/>
      <protection hidden="1"/>
    </xf>
    <xf numFmtId="0" fontId="40" fillId="0" borderId="6" xfId="0" applyFont="1" applyFill="1" applyBorder="1" applyAlignment="1" applyProtection="1">
      <alignment vertical="center" wrapText="1"/>
      <protection hidden="1"/>
    </xf>
    <xf numFmtId="0" fontId="40" fillId="0" borderId="3" xfId="0" applyFont="1" applyFill="1" applyBorder="1" applyAlignment="1" applyProtection="1">
      <alignment vertical="center" wrapText="1"/>
      <protection hidden="1"/>
    </xf>
    <xf numFmtId="0" fontId="40" fillId="0" borderId="7" xfId="0" applyFont="1" applyFill="1" applyBorder="1" applyAlignment="1" applyProtection="1">
      <alignment vertical="center" wrapText="1"/>
      <protection hidden="1"/>
    </xf>
    <xf numFmtId="0" fontId="48" fillId="0" borderId="22" xfId="0" applyFont="1" applyBorder="1" applyAlignment="1" applyProtection="1">
      <alignment horizontal="center" vertical="center"/>
      <protection hidden="1"/>
    </xf>
    <xf numFmtId="9" fontId="0" fillId="0" borderId="90" xfId="0" applyNumberFormat="1" applyBorder="1" applyAlignment="1" applyProtection="1">
      <alignment horizontal="center" vertical="center"/>
      <protection hidden="1"/>
    </xf>
    <xf numFmtId="9" fontId="0" fillId="0" borderId="91" xfId="0" applyNumberFormat="1" applyBorder="1" applyAlignment="1" applyProtection="1">
      <alignment horizontal="center" vertical="center"/>
      <protection hidden="1"/>
    </xf>
    <xf numFmtId="9" fontId="0" fillId="0" borderId="92" xfId="0" applyNumberFormat="1" applyBorder="1" applyAlignment="1" applyProtection="1">
      <alignment horizontal="center" vertical="center"/>
      <protection hidden="1"/>
    </xf>
    <xf numFmtId="9" fontId="0" fillId="0" borderId="93" xfId="0" applyNumberFormat="1" applyBorder="1" applyAlignment="1" applyProtection="1">
      <alignment horizontal="center" vertical="center"/>
      <protection hidden="1"/>
    </xf>
    <xf numFmtId="9" fontId="0" fillId="0" borderId="6" xfId="0" applyNumberFormat="1" applyBorder="1" applyAlignment="1" applyProtection="1">
      <alignment horizontal="center" vertical="center"/>
      <protection hidden="1"/>
    </xf>
    <xf numFmtId="9" fontId="0" fillId="0" borderId="3" xfId="0" applyNumberFormat="1" applyBorder="1" applyAlignment="1" applyProtection="1">
      <alignment horizontal="center" vertical="center"/>
      <protection hidden="1"/>
    </xf>
    <xf numFmtId="9" fontId="0" fillId="0" borderId="7" xfId="0" applyNumberFormat="1" applyBorder="1" applyAlignment="1" applyProtection="1">
      <alignment horizontal="center" vertical="center"/>
      <protection hidden="1"/>
    </xf>
    <xf numFmtId="9" fontId="42" fillId="2" borderId="26" xfId="0" applyNumberFormat="1" applyFont="1" applyFill="1" applyBorder="1" applyAlignment="1" applyProtection="1">
      <alignment horizontal="center" vertical="center"/>
      <protection hidden="1"/>
    </xf>
    <xf numFmtId="0" fontId="42" fillId="0" borderId="3" xfId="0" applyFont="1" applyFill="1" applyBorder="1" applyAlignment="1" applyProtection="1">
      <alignment horizontal="center" vertical="center"/>
      <protection hidden="1"/>
    </xf>
    <xf numFmtId="9" fontId="14" fillId="14" borderId="3" xfId="0" applyNumberFormat="1" applyFont="1" applyFill="1" applyBorder="1" applyAlignment="1" applyProtection="1">
      <alignment horizontal="center" vertical="center"/>
      <protection hidden="1"/>
    </xf>
    <xf numFmtId="49" fontId="55" fillId="4" borderId="2" xfId="0" applyNumberFormat="1" applyFont="1" applyFill="1" applyBorder="1" applyAlignment="1" applyProtection="1">
      <alignment horizontal="center" vertical="center" wrapText="1"/>
      <protection locked="0"/>
    </xf>
    <xf numFmtId="49" fontId="55" fillId="4" borderId="3" xfId="0" applyNumberFormat="1" applyFont="1" applyFill="1" applyBorder="1" applyAlignment="1" applyProtection="1">
      <alignment horizontal="center" vertical="center" wrapText="1"/>
      <protection locked="0"/>
    </xf>
    <xf numFmtId="49" fontId="55" fillId="4" borderId="4" xfId="0" applyNumberFormat="1" applyFont="1" applyFill="1" applyBorder="1" applyAlignment="1" applyProtection="1">
      <alignment horizontal="center" vertical="center" wrapText="1"/>
      <protection locked="0"/>
    </xf>
    <xf numFmtId="49" fontId="18" fillId="5" borderId="7" xfId="0" applyNumberFormat="1" applyFont="1" applyFill="1" applyBorder="1" applyAlignment="1" applyProtection="1">
      <alignment horizontal="center" vertical="center" wrapText="1"/>
      <protection hidden="1"/>
    </xf>
    <xf numFmtId="0" fontId="18" fillId="5" borderId="7" xfId="0" applyFont="1" applyFill="1" applyBorder="1" applyAlignment="1" applyProtection="1">
      <alignment horizontal="center" vertical="center" wrapText="1"/>
      <protection hidden="1"/>
    </xf>
    <xf numFmtId="0" fontId="18" fillId="5" borderId="10" xfId="0" applyFont="1" applyFill="1" applyBorder="1" applyAlignment="1" applyProtection="1">
      <alignment horizontal="center" vertical="center" wrapText="1"/>
      <protection hidden="1"/>
    </xf>
    <xf numFmtId="0" fontId="18" fillId="5" borderId="81" xfId="0" applyFont="1" applyFill="1" applyBorder="1" applyAlignment="1" applyProtection="1">
      <alignment horizontal="center" vertical="center" wrapText="1"/>
      <protection hidden="1"/>
    </xf>
    <xf numFmtId="0" fontId="0" fillId="0" borderId="0" xfId="0" applyProtection="1">
      <protection hidden="1"/>
    </xf>
    <xf numFmtId="9" fontId="0" fillId="0" borderId="0" xfId="1" applyFont="1" applyProtection="1">
      <protection hidden="1"/>
    </xf>
    <xf numFmtId="10" fontId="0" fillId="0" borderId="0" xfId="1" applyNumberFormat="1" applyFont="1" applyProtection="1">
      <protection hidden="1"/>
    </xf>
    <xf numFmtId="49" fontId="44" fillId="9" borderId="14" xfId="0" applyNumberFormat="1" applyFont="1" applyFill="1" applyBorder="1" applyAlignment="1">
      <alignment horizontal="center" vertical="center" wrapText="1"/>
    </xf>
    <xf numFmtId="49" fontId="44" fillId="9" borderId="11" xfId="0" applyNumberFormat="1" applyFont="1" applyFill="1" applyBorder="1" applyAlignment="1">
      <alignment horizontal="center" vertical="center" wrapText="1"/>
    </xf>
    <xf numFmtId="0" fontId="26" fillId="4" borderId="59" xfId="3" applyFont="1" applyFill="1" applyBorder="1" applyAlignment="1" applyProtection="1">
      <alignment horizontal="left" vertical="top" wrapText="1"/>
    </xf>
    <xf numFmtId="0" fontId="26" fillId="4" borderId="0" xfId="3" applyFont="1" applyFill="1" applyBorder="1" applyAlignment="1" applyProtection="1">
      <alignment horizontal="left" vertical="top" wrapText="1"/>
    </xf>
    <xf numFmtId="0" fontId="26" fillId="4" borderId="60" xfId="3" applyFont="1" applyFill="1" applyBorder="1" applyAlignment="1" applyProtection="1">
      <alignment horizontal="left" vertical="top" wrapText="1"/>
    </xf>
    <xf numFmtId="0" fontId="26" fillId="4" borderId="0" xfId="3" applyFont="1" applyFill="1" applyBorder="1" applyAlignment="1" applyProtection="1"/>
    <xf numFmtId="0" fontId="34" fillId="4" borderId="77" xfId="0" applyFont="1" applyFill="1" applyBorder="1" applyAlignment="1" applyProtection="1">
      <alignment horizontal="left" vertical="center" wrapText="1"/>
    </xf>
    <xf numFmtId="0" fontId="34" fillId="4" borderId="78" xfId="0" applyFont="1" applyFill="1" applyBorder="1" applyAlignment="1" applyProtection="1">
      <alignment horizontal="left" vertical="center" wrapText="1"/>
    </xf>
    <xf numFmtId="0" fontId="35" fillId="0" borderId="69" xfId="3" applyFont="1" applyFill="1" applyBorder="1" applyAlignment="1" applyProtection="1">
      <alignment horizontal="left" vertical="center" wrapText="1"/>
    </xf>
    <xf numFmtId="0" fontId="35" fillId="0" borderId="70" xfId="3" applyFont="1" applyFill="1" applyBorder="1" applyAlignment="1" applyProtection="1">
      <alignment horizontal="left" vertical="center" wrapText="1"/>
    </xf>
    <xf numFmtId="0" fontId="17" fillId="2" borderId="44" xfId="2" applyNumberFormat="1" applyFont="1" applyFill="1" applyBorder="1" applyAlignment="1" applyProtection="1">
      <alignment horizontal="center" vertical="center" wrapText="1"/>
    </xf>
    <xf numFmtId="0" fontId="17" fillId="2" borderId="45" xfId="2" applyNumberFormat="1" applyFont="1" applyFill="1" applyBorder="1" applyAlignment="1" applyProtection="1">
      <alignment horizontal="center" vertical="center" wrapText="1"/>
    </xf>
    <xf numFmtId="0" fontId="25" fillId="7" borderId="50" xfId="2" applyNumberFormat="1" applyFont="1" applyFill="1" applyBorder="1" applyAlignment="1" applyProtection="1">
      <alignment horizontal="center" vertical="center"/>
    </xf>
    <xf numFmtId="0" fontId="25" fillId="7" borderId="51" xfId="2" applyNumberFormat="1" applyFont="1" applyFill="1" applyBorder="1" applyAlignment="1" applyProtection="1">
      <alignment horizontal="center" vertical="center"/>
    </xf>
    <xf numFmtId="0" fontId="26" fillId="0" borderId="56" xfId="2" applyFont="1" applyFill="1" applyBorder="1" applyAlignment="1" applyProtection="1">
      <alignment horizontal="justify" vertical="center" wrapText="1"/>
    </xf>
    <xf numFmtId="0" fontId="26" fillId="0" borderId="57" xfId="2" applyFont="1" applyFill="1" applyBorder="1" applyAlignment="1" applyProtection="1">
      <alignment horizontal="justify" vertical="center" wrapText="1"/>
    </xf>
    <xf numFmtId="0" fontId="25" fillId="8" borderId="52" xfId="2" applyNumberFormat="1" applyFont="1" applyFill="1" applyBorder="1" applyAlignment="1" applyProtection="1">
      <alignment horizontal="center" vertical="center" wrapText="1"/>
    </xf>
    <xf numFmtId="0" fontId="25" fillId="8" borderId="53" xfId="2" applyNumberFormat="1" applyFont="1" applyFill="1" applyBorder="1" applyAlignment="1" applyProtection="1">
      <alignment horizontal="center" vertical="center"/>
    </xf>
    <xf numFmtId="0" fontId="26" fillId="0" borderId="53" xfId="2" applyFont="1" applyFill="1" applyBorder="1" applyAlignment="1" applyProtection="1">
      <alignment horizontal="justify" vertical="center" wrapText="1"/>
    </xf>
    <xf numFmtId="0" fontId="26" fillId="0" borderId="54" xfId="2" applyFont="1" applyFill="1" applyBorder="1" applyAlignment="1" applyProtection="1">
      <alignment horizontal="justify" vertical="center" wrapText="1"/>
    </xf>
    <xf numFmtId="0" fontId="37" fillId="4" borderId="71" xfId="2" applyNumberFormat="1" applyFont="1" applyFill="1" applyBorder="1" applyAlignment="1" applyProtection="1">
      <alignment horizontal="center" vertical="center" wrapText="1"/>
    </xf>
    <xf numFmtId="0" fontId="24" fillId="4" borderId="71" xfId="2" applyFont="1" applyFill="1" applyBorder="1" applyAlignment="1" applyProtection="1">
      <alignment horizontal="center" vertical="center" wrapText="1"/>
    </xf>
    <xf numFmtId="0" fontId="17" fillId="2" borderId="46" xfId="2" applyNumberFormat="1" applyFont="1" applyFill="1" applyBorder="1" applyAlignment="1" applyProtection="1">
      <alignment horizontal="center" vertical="center" wrapText="1"/>
    </xf>
    <xf numFmtId="0" fontId="25" fillId="14" borderId="47" xfId="2" applyNumberFormat="1" applyFont="1" applyFill="1" applyBorder="1" applyAlignment="1" applyProtection="1">
      <alignment horizontal="center" vertical="center"/>
    </xf>
    <xf numFmtId="0" fontId="25" fillId="14" borderId="48" xfId="2" applyNumberFormat="1" applyFont="1" applyFill="1" applyBorder="1" applyAlignment="1" applyProtection="1">
      <alignment horizontal="center" vertical="center"/>
    </xf>
    <xf numFmtId="0" fontId="26" fillId="0" borderId="48" xfId="2" applyFont="1" applyFill="1" applyBorder="1" applyAlignment="1" applyProtection="1">
      <alignment horizontal="justify" vertical="center" wrapText="1"/>
    </xf>
    <xf numFmtId="0" fontId="26" fillId="0" borderId="49" xfId="2" applyFont="1" applyFill="1" applyBorder="1" applyAlignment="1" applyProtection="1">
      <alignment horizontal="justify" vertical="center" wrapText="1"/>
    </xf>
    <xf numFmtId="0" fontId="34" fillId="4" borderId="75" xfId="4" applyFont="1" applyFill="1" applyBorder="1" applyAlignment="1" applyProtection="1">
      <alignment horizontal="left" vertical="center" wrapText="1" readingOrder="1"/>
    </xf>
    <xf numFmtId="0" fontId="34" fillId="4" borderId="76" xfId="4" applyFont="1" applyFill="1" applyBorder="1" applyAlignment="1" applyProtection="1">
      <alignment horizontal="left" vertical="center" wrapText="1" readingOrder="1"/>
    </xf>
    <xf numFmtId="0" fontId="35" fillId="0" borderId="65" xfId="3" applyFont="1" applyFill="1" applyBorder="1" applyAlignment="1" applyProtection="1">
      <alignment horizontal="left" vertical="center" wrapText="1"/>
    </xf>
    <xf numFmtId="0" fontId="35" fillId="0" borderId="66" xfId="3" applyFont="1" applyFill="1" applyBorder="1" applyAlignment="1" applyProtection="1">
      <alignment horizontal="left" vertical="center" wrapText="1"/>
    </xf>
    <xf numFmtId="0" fontId="34" fillId="4" borderId="67" xfId="0" applyFont="1" applyFill="1" applyBorder="1" applyAlignment="1" applyProtection="1">
      <alignment horizontal="left" vertical="center" wrapText="1"/>
    </xf>
    <xf numFmtId="0" fontId="34" fillId="4" borderId="68" xfId="0" applyFont="1" applyFill="1" applyBorder="1" applyAlignment="1" applyProtection="1">
      <alignment horizontal="left" vertical="center" wrapText="1"/>
    </xf>
    <xf numFmtId="0" fontId="35" fillId="0" borderId="69" xfId="3" applyFont="1" applyFill="1" applyBorder="1" applyAlignment="1" applyProtection="1">
      <alignment horizontal="left" vertical="top" wrapText="1"/>
    </xf>
    <xf numFmtId="0" fontId="35" fillId="0" borderId="70" xfId="3" applyFont="1" applyFill="1" applyBorder="1" applyAlignment="1" applyProtection="1">
      <alignment horizontal="left" vertical="top" wrapText="1"/>
    </xf>
    <xf numFmtId="0" fontId="30" fillId="0" borderId="58" xfId="3" applyFont="1" applyBorder="1" applyAlignment="1" applyProtection="1">
      <alignment horizontal="center" vertical="center" wrapText="1"/>
    </xf>
    <xf numFmtId="0" fontId="30" fillId="0" borderId="55" xfId="3" applyFont="1" applyBorder="1" applyAlignment="1" applyProtection="1">
      <alignment horizontal="center" vertical="center" wrapText="1"/>
    </xf>
    <xf numFmtId="0" fontId="30" fillId="0" borderId="8" xfId="3" applyFont="1" applyBorder="1" applyAlignment="1" applyProtection="1">
      <alignment horizontal="center" vertical="center" wrapText="1"/>
    </xf>
    <xf numFmtId="0" fontId="26" fillId="0" borderId="59" xfId="3" quotePrefix="1" applyFont="1" applyBorder="1" applyAlignment="1" applyProtection="1">
      <alignment horizontal="left" vertical="center" wrapText="1"/>
    </xf>
    <xf numFmtId="0" fontId="26" fillId="0" borderId="0" xfId="3" quotePrefix="1" applyFont="1" applyBorder="1" applyAlignment="1" applyProtection="1">
      <alignment horizontal="left" vertical="center" wrapText="1"/>
    </xf>
    <xf numFmtId="0" fontId="26" fillId="0" borderId="60" xfId="3" quotePrefix="1" applyFont="1" applyBorder="1" applyAlignment="1" applyProtection="1">
      <alignment horizontal="left" vertical="center" wrapText="1"/>
    </xf>
    <xf numFmtId="0" fontId="31" fillId="4" borderId="59" xfId="3" quotePrefix="1" applyFont="1" applyFill="1" applyBorder="1" applyAlignment="1" applyProtection="1">
      <alignment horizontal="left" vertical="top" wrapText="1"/>
    </xf>
    <xf numFmtId="0" fontId="25" fillId="4" borderId="0" xfId="3" quotePrefix="1" applyFont="1" applyFill="1" applyBorder="1" applyAlignment="1" applyProtection="1">
      <alignment horizontal="left" vertical="top" wrapText="1"/>
    </xf>
    <xf numFmtId="0" fontId="25" fillId="4" borderId="60" xfId="3" quotePrefix="1" applyFont="1" applyFill="1" applyBorder="1" applyAlignment="1" applyProtection="1">
      <alignment horizontal="left" vertical="top" wrapText="1"/>
    </xf>
    <xf numFmtId="0" fontId="26" fillId="4" borderId="59" xfId="3" quotePrefix="1" applyFont="1" applyFill="1" applyBorder="1" applyAlignment="1" applyProtection="1">
      <alignment horizontal="left" vertical="top" wrapText="1"/>
    </xf>
    <xf numFmtId="0" fontId="26" fillId="4" borderId="0" xfId="3" quotePrefix="1" applyFont="1" applyFill="1" applyBorder="1" applyAlignment="1" applyProtection="1">
      <alignment horizontal="left" vertical="top" wrapText="1"/>
    </xf>
    <xf numFmtId="0" fontId="26" fillId="4" borderId="60" xfId="3" quotePrefix="1" applyFont="1" applyFill="1" applyBorder="1" applyAlignment="1" applyProtection="1">
      <alignment horizontal="left" vertical="top" wrapText="1"/>
    </xf>
    <xf numFmtId="0" fontId="34" fillId="16" borderId="61" xfId="4" applyFont="1" applyFill="1" applyBorder="1" applyAlignment="1" applyProtection="1">
      <alignment horizontal="center" vertical="center" wrapText="1"/>
    </xf>
    <xf numFmtId="0" fontId="34" fillId="16" borderId="62" xfId="4" applyFont="1" applyFill="1" applyBorder="1" applyAlignment="1" applyProtection="1">
      <alignment horizontal="center" vertical="center" wrapText="1"/>
    </xf>
    <xf numFmtId="0" fontId="34" fillId="16" borderId="63" xfId="3" applyFont="1" applyFill="1" applyBorder="1" applyAlignment="1" applyProtection="1">
      <alignment horizontal="center" vertical="center"/>
    </xf>
    <xf numFmtId="0" fontId="34" fillId="16" borderId="64" xfId="3" applyFont="1" applyFill="1" applyBorder="1" applyAlignment="1" applyProtection="1">
      <alignment horizontal="center" vertical="center"/>
    </xf>
    <xf numFmtId="49" fontId="45" fillId="5" borderId="0" xfId="0" applyNumberFormat="1" applyFont="1" applyFill="1" applyBorder="1" applyAlignment="1">
      <alignment horizontal="center" vertical="center"/>
    </xf>
    <xf numFmtId="0" fontId="44" fillId="11" borderId="11" xfId="0" applyFont="1" applyFill="1" applyBorder="1" applyAlignment="1">
      <alignment horizontal="center" vertical="center" wrapText="1"/>
    </xf>
    <xf numFmtId="0" fontId="44" fillId="11" borderId="12" xfId="0" applyFont="1" applyFill="1" applyBorder="1" applyAlignment="1">
      <alignment horizontal="center" vertical="center" wrapText="1"/>
    </xf>
    <xf numFmtId="0" fontId="44" fillId="11" borderId="13" xfId="0" applyFont="1" applyFill="1" applyBorder="1" applyAlignment="1">
      <alignment horizontal="center" vertical="center" wrapText="1"/>
    </xf>
    <xf numFmtId="49" fontId="44" fillId="11" borderId="14" xfId="0" applyNumberFormat="1" applyFont="1" applyFill="1" applyBorder="1" applyAlignment="1">
      <alignment horizontal="center" vertical="center" wrapText="1"/>
    </xf>
    <xf numFmtId="49" fontId="44" fillId="11" borderId="15" xfId="0" applyNumberFormat="1" applyFont="1" applyFill="1" applyBorder="1" applyAlignment="1">
      <alignment horizontal="center" vertical="center" wrapText="1"/>
    </xf>
    <xf numFmtId="49" fontId="44" fillId="11" borderId="16" xfId="0" applyNumberFormat="1" applyFont="1" applyFill="1" applyBorder="1" applyAlignment="1">
      <alignment horizontal="center" vertical="center" wrapText="1"/>
    </xf>
    <xf numFmtId="0" fontId="44" fillId="9" borderId="11" xfId="0" applyFont="1" applyFill="1" applyBorder="1" applyAlignment="1">
      <alignment horizontal="center" vertical="center" wrapText="1"/>
    </xf>
    <xf numFmtId="0" fontId="44" fillId="9" borderId="12" xfId="0" applyFont="1" applyFill="1" applyBorder="1" applyAlignment="1">
      <alignment horizontal="center" vertical="center" wrapText="1"/>
    </xf>
    <xf numFmtId="0" fontId="44" fillId="9" borderId="13" xfId="0" applyFont="1" applyFill="1" applyBorder="1" applyAlignment="1">
      <alignment horizontal="center" vertical="center" wrapText="1"/>
    </xf>
    <xf numFmtId="49" fontId="44" fillId="9" borderId="14" xfId="0" applyNumberFormat="1" applyFont="1" applyFill="1" applyBorder="1" applyAlignment="1">
      <alignment horizontal="center" vertical="center" wrapText="1"/>
    </xf>
    <xf numFmtId="49" fontId="44" fillId="9" borderId="15" xfId="0" applyNumberFormat="1" applyFont="1" applyFill="1" applyBorder="1" applyAlignment="1">
      <alignment horizontal="center" vertical="center" wrapText="1"/>
    </xf>
    <xf numFmtId="49" fontId="44" fillId="9" borderId="16" xfId="0" applyNumberFormat="1" applyFont="1" applyFill="1" applyBorder="1" applyAlignment="1">
      <alignment horizontal="center" vertical="center" wrapText="1"/>
    </xf>
    <xf numFmtId="0" fontId="44" fillId="6" borderId="11" xfId="0" applyFont="1" applyFill="1" applyBorder="1" applyAlignment="1">
      <alignment horizontal="center" vertical="center" wrapText="1"/>
    </xf>
    <xf numFmtId="0" fontId="44" fillId="6" borderId="12" xfId="0" applyFont="1" applyFill="1" applyBorder="1" applyAlignment="1">
      <alignment horizontal="center" vertical="center" wrapText="1"/>
    </xf>
    <xf numFmtId="0" fontId="44" fillId="6" borderId="13" xfId="0" applyFont="1" applyFill="1" applyBorder="1" applyAlignment="1">
      <alignment horizontal="center" vertical="center" wrapText="1"/>
    </xf>
    <xf numFmtId="49" fontId="8" fillId="6" borderId="14" xfId="0" applyNumberFormat="1" applyFont="1" applyFill="1" applyBorder="1" applyAlignment="1">
      <alignment horizontal="center" vertical="center" wrapText="1"/>
    </xf>
    <xf numFmtId="49" fontId="8" fillId="6" borderId="15" xfId="0" applyNumberFormat="1" applyFont="1" applyFill="1" applyBorder="1" applyAlignment="1">
      <alignment horizontal="center" vertical="center" wrapText="1"/>
    </xf>
    <xf numFmtId="49" fontId="8" fillId="6" borderId="16" xfId="0" applyNumberFormat="1" applyFont="1" applyFill="1" applyBorder="1" applyAlignment="1">
      <alignment horizontal="center" vertical="center" wrapText="1"/>
    </xf>
    <xf numFmtId="49" fontId="8" fillId="10" borderId="14" xfId="0" applyNumberFormat="1" applyFont="1" applyFill="1" applyBorder="1" applyAlignment="1">
      <alignment horizontal="center" vertical="center" wrapText="1"/>
    </xf>
    <xf numFmtId="49" fontId="8" fillId="10" borderId="15" xfId="0" applyNumberFormat="1" applyFont="1" applyFill="1" applyBorder="1" applyAlignment="1">
      <alignment horizontal="center" vertical="center" wrapText="1"/>
    </xf>
    <xf numFmtId="49" fontId="8" fillId="10" borderId="16" xfId="0" applyNumberFormat="1" applyFont="1" applyFill="1" applyBorder="1" applyAlignment="1">
      <alignment horizontal="center" vertical="center" wrapText="1"/>
    </xf>
    <xf numFmtId="0" fontId="44" fillId="10" borderId="11" xfId="0" applyFont="1" applyFill="1" applyBorder="1" applyAlignment="1">
      <alignment horizontal="center" vertical="center" wrapText="1"/>
    </xf>
    <xf numFmtId="0" fontId="44" fillId="10" borderId="12" xfId="0" applyFont="1" applyFill="1" applyBorder="1" applyAlignment="1">
      <alignment horizontal="center" vertical="center" wrapText="1"/>
    </xf>
    <xf numFmtId="0" fontId="44" fillId="10" borderId="13" xfId="0" applyFont="1" applyFill="1" applyBorder="1" applyAlignment="1">
      <alignment horizontal="center" vertical="center" wrapText="1"/>
    </xf>
    <xf numFmtId="0" fontId="44" fillId="9" borderId="6" xfId="0" applyFont="1" applyFill="1" applyBorder="1" applyAlignment="1">
      <alignment horizontal="center" vertical="center" wrapText="1"/>
    </xf>
    <xf numFmtId="49" fontId="44" fillId="6" borderId="11" xfId="0" applyNumberFormat="1" applyFont="1" applyFill="1" applyBorder="1" applyAlignment="1">
      <alignment horizontal="center" vertical="center" wrapText="1"/>
    </xf>
    <xf numFmtId="49" fontId="44" fillId="6" borderId="12" xfId="0" applyNumberFormat="1" applyFont="1" applyFill="1" applyBorder="1" applyAlignment="1">
      <alignment horizontal="center" vertical="center" wrapText="1"/>
    </xf>
    <xf numFmtId="49" fontId="44" fillId="6" borderId="13" xfId="0" applyNumberFormat="1" applyFont="1" applyFill="1" applyBorder="1" applyAlignment="1">
      <alignment horizontal="center" vertical="center" wrapText="1"/>
    </xf>
    <xf numFmtId="49" fontId="44" fillId="10" borderId="11" xfId="0" applyNumberFormat="1" applyFont="1" applyFill="1" applyBorder="1" applyAlignment="1">
      <alignment horizontal="center" vertical="center" wrapText="1"/>
    </xf>
    <xf numFmtId="49" fontId="44" fillId="10" borderId="12" xfId="0" applyNumberFormat="1" applyFont="1" applyFill="1" applyBorder="1" applyAlignment="1">
      <alignment horizontal="center" vertical="center" wrapText="1"/>
    </xf>
    <xf numFmtId="49" fontId="44" fillId="10" borderId="13" xfId="0" applyNumberFormat="1" applyFont="1" applyFill="1" applyBorder="1" applyAlignment="1">
      <alignment horizontal="center" vertical="center" wrapText="1"/>
    </xf>
    <xf numFmtId="49" fontId="44" fillId="2" borderId="11" xfId="0" applyNumberFormat="1" applyFont="1" applyFill="1" applyBorder="1" applyAlignment="1">
      <alignment horizontal="center" vertical="center" wrapText="1"/>
    </xf>
    <xf numFmtId="49" fontId="44" fillId="2" borderId="12" xfId="0" applyNumberFormat="1" applyFont="1" applyFill="1" applyBorder="1" applyAlignment="1">
      <alignment horizontal="center" vertical="center" wrapText="1"/>
    </xf>
    <xf numFmtId="49" fontId="44" fillId="2" borderId="13" xfId="0" applyNumberFormat="1" applyFont="1" applyFill="1" applyBorder="1" applyAlignment="1">
      <alignment horizontal="center" vertical="center" wrapText="1"/>
    </xf>
    <xf numFmtId="49" fontId="44" fillId="11" borderId="11" xfId="0" applyNumberFormat="1" applyFont="1" applyFill="1" applyBorder="1" applyAlignment="1">
      <alignment horizontal="center" vertical="center" wrapText="1"/>
    </xf>
    <xf numFmtId="49" fontId="44" fillId="11" borderId="12" xfId="0" applyNumberFormat="1" applyFont="1" applyFill="1" applyBorder="1" applyAlignment="1">
      <alignment horizontal="center" vertical="center" wrapText="1"/>
    </xf>
    <xf numFmtId="49" fontId="44" fillId="11" borderId="13" xfId="0" applyNumberFormat="1" applyFont="1" applyFill="1" applyBorder="1" applyAlignment="1">
      <alignment horizontal="center" vertical="center" wrapText="1"/>
    </xf>
    <xf numFmtId="49" fontId="44" fillId="9" borderId="11" xfId="0" applyNumberFormat="1" applyFont="1" applyFill="1" applyBorder="1" applyAlignment="1">
      <alignment horizontal="center" vertical="center" wrapText="1"/>
    </xf>
    <xf numFmtId="49" fontId="44" fillId="9" borderId="12" xfId="0" applyNumberFormat="1" applyFont="1" applyFill="1" applyBorder="1" applyAlignment="1">
      <alignment horizontal="center" vertical="center" wrapText="1"/>
    </xf>
    <xf numFmtId="49" fontId="44" fillId="9" borderId="13" xfId="0" applyNumberFormat="1" applyFont="1" applyFill="1" applyBorder="1" applyAlignment="1">
      <alignment horizontal="center" vertical="center" wrapText="1"/>
    </xf>
    <xf numFmtId="49" fontId="44" fillId="10" borderId="3" xfId="0" applyNumberFormat="1" applyFont="1" applyFill="1" applyBorder="1" applyAlignment="1">
      <alignment horizontal="center" vertical="center" wrapText="1"/>
    </xf>
    <xf numFmtId="0" fontId="44" fillId="10" borderId="3" xfId="0" applyFont="1" applyFill="1" applyBorder="1" applyAlignment="1">
      <alignment horizontal="center" vertical="center" wrapText="1"/>
    </xf>
    <xf numFmtId="49" fontId="44" fillId="10" borderId="15" xfId="0" applyNumberFormat="1" applyFont="1" applyFill="1" applyBorder="1" applyAlignment="1">
      <alignment horizontal="center" vertical="center" wrapText="1"/>
    </xf>
    <xf numFmtId="49" fontId="44" fillId="2" borderId="14" xfId="0" applyNumberFormat="1" applyFont="1" applyFill="1" applyBorder="1" applyAlignment="1">
      <alignment horizontal="center" vertical="center" wrapText="1"/>
    </xf>
    <xf numFmtId="49" fontId="44" fillId="2" borderId="15" xfId="0" applyNumberFormat="1" applyFont="1" applyFill="1" applyBorder="1" applyAlignment="1">
      <alignment horizontal="center" vertical="center" wrapText="1"/>
    </xf>
    <xf numFmtId="49" fontId="44" fillId="2" borderId="16" xfId="0" applyNumberFormat="1" applyFont="1" applyFill="1" applyBorder="1" applyAlignment="1">
      <alignment horizontal="center" vertical="center" wrapText="1"/>
    </xf>
    <xf numFmtId="0" fontId="44" fillId="2" borderId="11" xfId="0" applyFont="1" applyFill="1" applyBorder="1" applyAlignment="1">
      <alignment horizontal="center" vertical="center" wrapText="1"/>
    </xf>
    <xf numFmtId="0" fontId="44" fillId="2" borderId="12" xfId="0" applyFont="1" applyFill="1" applyBorder="1" applyAlignment="1">
      <alignment horizontal="center" vertical="center" wrapText="1"/>
    </xf>
    <xf numFmtId="0" fontId="44" fillId="2" borderId="13" xfId="0" applyFont="1" applyFill="1" applyBorder="1" applyAlignment="1">
      <alignment horizontal="center" vertical="center" wrapText="1"/>
    </xf>
    <xf numFmtId="0" fontId="6" fillId="2" borderId="24"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5" xfId="0" applyFont="1" applyFill="1" applyBorder="1" applyAlignment="1">
      <alignment horizontal="center" vertical="center"/>
    </xf>
    <xf numFmtId="0" fontId="19" fillId="3" borderId="32" xfId="2" applyFont="1" applyFill="1" applyBorder="1" applyAlignment="1" applyProtection="1">
      <alignment horizontal="center" vertical="center" wrapText="1"/>
    </xf>
    <xf numFmtId="0" fontId="19" fillId="3" borderId="33" xfId="2" applyFont="1" applyFill="1" applyBorder="1" applyAlignment="1" applyProtection="1">
      <alignment horizontal="center" vertical="center" wrapText="1"/>
    </xf>
    <xf numFmtId="0" fontId="23" fillId="6" borderId="14" xfId="0" applyFont="1" applyFill="1" applyBorder="1" applyAlignment="1">
      <alignment horizontal="center" vertical="center" textRotation="90" wrapText="1"/>
    </xf>
    <xf numFmtId="0" fontId="23" fillId="6" borderId="15" xfId="0" applyFont="1" applyFill="1" applyBorder="1" applyAlignment="1">
      <alignment horizontal="center" vertical="center" textRotation="90" wrapText="1"/>
    </xf>
    <xf numFmtId="0" fontId="23" fillId="6" borderId="16" xfId="0" applyFont="1" applyFill="1" applyBorder="1" applyAlignment="1">
      <alignment horizontal="center" vertical="center" textRotation="90" wrapText="1"/>
    </xf>
    <xf numFmtId="0" fontId="19" fillId="2" borderId="37" xfId="2" applyFont="1" applyFill="1" applyBorder="1" applyAlignment="1" applyProtection="1">
      <alignment horizontal="center" vertical="center" wrapText="1"/>
    </xf>
    <xf numFmtId="0" fontId="19" fillId="2" borderId="83" xfId="2" applyFont="1" applyFill="1" applyBorder="1" applyAlignment="1" applyProtection="1">
      <alignment horizontal="center" vertical="center" wrapText="1"/>
    </xf>
    <xf numFmtId="0" fontId="19" fillId="2" borderId="38" xfId="2" applyFont="1" applyFill="1" applyBorder="1" applyAlignment="1" applyProtection="1">
      <alignment horizontal="center" vertical="center" wrapText="1"/>
    </xf>
    <xf numFmtId="0" fontId="19" fillId="2" borderId="39" xfId="2" applyFont="1" applyFill="1" applyBorder="1" applyAlignment="1" applyProtection="1">
      <alignment horizontal="center" vertical="center" wrapText="1"/>
    </xf>
    <xf numFmtId="0" fontId="19" fillId="2" borderId="40" xfId="2" applyFont="1" applyFill="1" applyBorder="1" applyAlignment="1" applyProtection="1">
      <alignment horizontal="center" vertical="center" wrapText="1"/>
    </xf>
    <xf numFmtId="0" fontId="19" fillId="2" borderId="42" xfId="2" applyFont="1" applyFill="1" applyBorder="1" applyAlignment="1" applyProtection="1">
      <alignment horizontal="center" vertical="center" wrapText="1"/>
    </xf>
    <xf numFmtId="0" fontId="19" fillId="2" borderId="41" xfId="2" applyFont="1" applyFill="1" applyBorder="1" applyAlignment="1" applyProtection="1">
      <alignment horizontal="center" vertical="center" wrapText="1"/>
    </xf>
    <xf numFmtId="0" fontId="19" fillId="2" borderId="43" xfId="2" applyFont="1" applyFill="1" applyBorder="1" applyAlignment="1" applyProtection="1">
      <alignment horizontal="center" vertical="center" wrapText="1"/>
    </xf>
    <xf numFmtId="9" fontId="41" fillId="0" borderId="87" xfId="0" applyNumberFormat="1" applyFont="1" applyBorder="1" applyAlignment="1" applyProtection="1">
      <alignment horizontal="center" vertical="center"/>
      <protection hidden="1"/>
    </xf>
    <xf numFmtId="9" fontId="41" fillId="0" borderId="88" xfId="0" applyNumberFormat="1" applyFont="1" applyBorder="1" applyAlignment="1" applyProtection="1">
      <alignment horizontal="center" vertical="center"/>
      <protection hidden="1"/>
    </xf>
    <xf numFmtId="9" fontId="28" fillId="7" borderId="84" xfId="1" applyFont="1" applyFill="1" applyBorder="1" applyAlignment="1" applyProtection="1">
      <alignment horizontal="center" vertical="center"/>
      <protection hidden="1"/>
    </xf>
    <xf numFmtId="9" fontId="28" fillId="7" borderId="85" xfId="1" applyFont="1" applyFill="1" applyBorder="1" applyAlignment="1" applyProtection="1">
      <alignment horizontal="center" vertical="center"/>
      <protection hidden="1"/>
    </xf>
    <xf numFmtId="9" fontId="28" fillId="7" borderId="86" xfId="1" applyFont="1" applyFill="1" applyBorder="1" applyAlignment="1" applyProtection="1">
      <alignment horizontal="center" vertical="center"/>
      <protection hidden="1"/>
    </xf>
    <xf numFmtId="0" fontId="27" fillId="9" borderId="14" xfId="0" applyFont="1" applyFill="1" applyBorder="1" applyAlignment="1">
      <alignment horizontal="center" vertical="center" textRotation="90"/>
    </xf>
    <xf numFmtId="0" fontId="27" fillId="9" borderId="15" xfId="0" applyFont="1" applyFill="1" applyBorder="1" applyAlignment="1">
      <alignment horizontal="center" vertical="center" textRotation="90"/>
    </xf>
    <xf numFmtId="0" fontId="27" fillId="9" borderId="16" xfId="0" applyFont="1" applyFill="1" applyBorder="1" applyAlignment="1">
      <alignment horizontal="center" vertical="center" textRotation="90"/>
    </xf>
    <xf numFmtId="9" fontId="41" fillId="4" borderId="87" xfId="0" applyNumberFormat="1" applyFont="1" applyFill="1" applyBorder="1" applyAlignment="1" applyProtection="1">
      <alignment horizontal="center" vertical="center"/>
      <protection hidden="1"/>
    </xf>
    <xf numFmtId="9" fontId="41" fillId="4" borderId="88" xfId="0" applyNumberFormat="1" applyFont="1" applyFill="1" applyBorder="1" applyAlignment="1" applyProtection="1">
      <alignment horizontal="center" vertical="center"/>
      <protection hidden="1"/>
    </xf>
    <xf numFmtId="9" fontId="41" fillId="4" borderId="89" xfId="0" applyNumberFormat="1" applyFont="1" applyFill="1" applyBorder="1" applyAlignment="1" applyProtection="1">
      <alignment horizontal="center" vertical="center"/>
      <protection hidden="1"/>
    </xf>
    <xf numFmtId="0" fontId="27" fillId="11" borderId="15" xfId="0" applyFont="1" applyFill="1" applyBorder="1" applyAlignment="1">
      <alignment horizontal="center" vertical="center" textRotation="90"/>
    </xf>
    <xf numFmtId="0" fontId="27" fillId="2" borderId="14" xfId="0" applyFont="1" applyFill="1" applyBorder="1" applyAlignment="1">
      <alignment horizontal="center" vertical="center" textRotation="90"/>
    </xf>
    <xf numFmtId="0" fontId="27" fillId="2" borderId="15" xfId="0" applyFont="1" applyFill="1" applyBorder="1" applyAlignment="1">
      <alignment horizontal="center" vertical="center" textRotation="90"/>
    </xf>
    <xf numFmtId="0" fontId="27" fillId="2" borderId="16" xfId="0" applyFont="1" applyFill="1" applyBorder="1" applyAlignment="1">
      <alignment horizontal="center" vertical="center" textRotation="90"/>
    </xf>
    <xf numFmtId="9" fontId="41" fillId="0" borderId="89" xfId="0" applyNumberFormat="1" applyFont="1" applyBorder="1" applyAlignment="1" applyProtection="1">
      <alignment horizontal="center" vertical="center"/>
      <protection hidden="1"/>
    </xf>
    <xf numFmtId="0" fontId="27" fillId="10" borderId="14" xfId="0" applyFont="1" applyFill="1" applyBorder="1" applyAlignment="1">
      <alignment horizontal="center" vertical="center" textRotation="90"/>
    </xf>
    <xf numFmtId="0" fontId="27" fillId="10" borderId="15" xfId="0" applyFont="1" applyFill="1" applyBorder="1" applyAlignment="1">
      <alignment horizontal="center" vertical="center" textRotation="90"/>
    </xf>
    <xf numFmtId="0" fontId="58" fillId="0" borderId="24" xfId="0" applyFont="1" applyBorder="1" applyAlignment="1" applyProtection="1">
      <alignment horizontal="left" wrapText="1"/>
      <protection locked="0"/>
    </xf>
    <xf numFmtId="0" fontId="58" fillId="0" borderId="1" xfId="0" applyFont="1" applyBorder="1" applyAlignment="1" applyProtection="1">
      <alignment horizontal="left"/>
      <protection locked="0"/>
    </xf>
    <xf numFmtId="0" fontId="58" fillId="0" borderId="25" xfId="0" applyFont="1" applyBorder="1" applyAlignment="1" applyProtection="1">
      <alignment horizontal="left"/>
      <protection locked="0"/>
    </xf>
    <xf numFmtId="0" fontId="52" fillId="12" borderId="0" xfId="0" applyFont="1" applyFill="1" applyBorder="1" applyAlignment="1">
      <alignment horizontal="center" vertical="center" wrapText="1"/>
    </xf>
    <xf numFmtId="0" fontId="60" fillId="0" borderId="24" xfId="0" applyFont="1" applyFill="1" applyBorder="1" applyAlignment="1" applyProtection="1">
      <alignment horizontal="left" vertical="center" wrapText="1"/>
      <protection locked="0"/>
    </xf>
    <xf numFmtId="0" fontId="57" fillId="0" borderId="1" xfId="0" applyFont="1" applyFill="1" applyBorder="1" applyAlignment="1" applyProtection="1">
      <alignment horizontal="left" vertical="center"/>
      <protection locked="0"/>
    </xf>
    <xf numFmtId="0" fontId="57" fillId="0" borderId="25" xfId="0" applyFont="1" applyFill="1" applyBorder="1" applyAlignment="1" applyProtection="1">
      <alignment horizontal="left" vertical="center"/>
      <protection locked="0"/>
    </xf>
    <xf numFmtId="0" fontId="58" fillId="0" borderId="1" xfId="0" applyFont="1" applyBorder="1" applyAlignment="1" applyProtection="1">
      <alignment horizontal="left" wrapText="1"/>
      <protection locked="0"/>
    </xf>
    <xf numFmtId="0" fontId="58" fillId="0" borderId="25" xfId="0" applyFont="1" applyBorder="1" applyAlignment="1" applyProtection="1">
      <alignment horizontal="left" wrapText="1"/>
      <protection locked="0"/>
    </xf>
    <xf numFmtId="0" fontId="0" fillId="0" borderId="73" xfId="0" applyBorder="1" applyAlignment="1">
      <alignment horizontal="center"/>
    </xf>
    <xf numFmtId="0" fontId="0" fillId="0" borderId="1" xfId="0" applyBorder="1" applyAlignment="1">
      <alignment horizontal="center"/>
    </xf>
    <xf numFmtId="49" fontId="49" fillId="4" borderId="91" xfId="0" applyNumberFormat="1" applyFont="1" applyFill="1" applyBorder="1" applyAlignment="1">
      <alignment horizontal="left" vertical="center" wrapText="1"/>
    </xf>
    <xf numFmtId="49" fontId="49" fillId="4" borderId="3" xfId="0" applyNumberFormat="1" applyFont="1" applyFill="1" applyBorder="1" applyAlignment="1">
      <alignment horizontal="left" vertical="center" wrapText="1"/>
    </xf>
    <xf numFmtId="49" fontId="49" fillId="4" borderId="92" xfId="0" applyNumberFormat="1" applyFont="1" applyFill="1" applyBorder="1" applyAlignment="1">
      <alignment horizontal="left" vertical="center" wrapText="1"/>
    </xf>
    <xf numFmtId="49" fontId="49" fillId="4" borderId="4" xfId="0" applyNumberFormat="1" applyFont="1" applyFill="1" applyBorder="1" applyAlignment="1">
      <alignment horizontal="left" vertical="center" wrapText="1"/>
    </xf>
    <xf numFmtId="0" fontId="51" fillId="2" borderId="7" xfId="0" applyFont="1" applyFill="1" applyBorder="1" applyAlignment="1">
      <alignment horizontal="center" vertical="center" wrapText="1"/>
    </xf>
    <xf numFmtId="0" fontId="51" fillId="2" borderId="6" xfId="0" applyFont="1" applyFill="1" applyBorder="1" applyAlignment="1">
      <alignment horizontal="center" vertical="center" wrapText="1"/>
    </xf>
    <xf numFmtId="0" fontId="56" fillId="4" borderId="3" xfId="0" applyFont="1" applyFill="1" applyBorder="1" applyAlignment="1" applyProtection="1">
      <alignment horizontal="center" vertical="center"/>
      <protection locked="0"/>
    </xf>
    <xf numFmtId="164" fontId="56" fillId="4" borderId="22" xfId="0" applyNumberFormat="1" applyFont="1" applyFill="1" applyBorder="1" applyAlignment="1" applyProtection="1">
      <alignment horizontal="center" vertical="center"/>
      <protection locked="0"/>
    </xf>
    <xf numFmtId="164" fontId="56" fillId="4" borderId="23" xfId="0" applyNumberFormat="1" applyFont="1" applyFill="1" applyBorder="1" applyAlignment="1" applyProtection="1">
      <alignment horizontal="center" vertical="center"/>
      <protection locked="0"/>
    </xf>
    <xf numFmtId="164" fontId="56" fillId="4" borderId="9" xfId="0" applyNumberFormat="1" applyFont="1" applyFill="1" applyBorder="1" applyAlignment="1" applyProtection="1">
      <alignment horizontal="center" vertical="center"/>
      <protection locked="0"/>
    </xf>
    <xf numFmtId="0" fontId="52" fillId="2" borderId="24" xfId="0" applyFont="1" applyFill="1" applyBorder="1" applyAlignment="1">
      <alignment horizontal="center" vertical="center" wrapText="1"/>
    </xf>
    <xf numFmtId="0" fontId="52" fillId="2" borderId="1" xfId="0" applyFont="1" applyFill="1" applyBorder="1" applyAlignment="1">
      <alignment horizontal="center" vertical="center" wrapText="1"/>
    </xf>
    <xf numFmtId="0" fontId="52" fillId="2" borderId="25" xfId="0" applyFont="1" applyFill="1" applyBorder="1" applyAlignment="1">
      <alignment horizontal="center" vertical="center" wrapText="1"/>
    </xf>
    <xf numFmtId="0" fontId="9" fillId="2" borderId="27"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29" xfId="0" applyFont="1" applyFill="1" applyBorder="1" applyAlignment="1">
      <alignment horizontal="center" vertical="center"/>
    </xf>
    <xf numFmtId="49" fontId="49" fillId="4" borderId="90" xfId="0" applyNumberFormat="1" applyFont="1" applyFill="1" applyBorder="1" applyAlignment="1">
      <alignment horizontal="left" vertical="center" wrapText="1"/>
    </xf>
    <xf numFmtId="49" fontId="49" fillId="4" borderId="2" xfId="0" applyNumberFormat="1" applyFont="1" applyFill="1" applyBorder="1" applyAlignment="1">
      <alignment horizontal="left" vertical="center" wrapText="1"/>
    </xf>
    <xf numFmtId="49" fontId="59" fillId="4" borderId="2" xfId="0" applyNumberFormat="1" applyFont="1" applyFill="1" applyBorder="1" applyAlignment="1" applyProtection="1">
      <alignment horizontal="left" vertical="top" wrapText="1"/>
      <protection locked="0"/>
    </xf>
    <xf numFmtId="49" fontId="59" fillId="4" borderId="84" xfId="0" applyNumberFormat="1" applyFont="1" applyFill="1" applyBorder="1" applyAlignment="1" applyProtection="1">
      <alignment horizontal="left" vertical="top" wrapText="1"/>
      <protection locked="0"/>
    </xf>
    <xf numFmtId="49" fontId="59" fillId="4" borderId="3" xfId="0" applyNumberFormat="1" applyFont="1" applyFill="1" applyBorder="1" applyAlignment="1" applyProtection="1">
      <alignment horizontal="left" vertical="top" wrapText="1"/>
      <protection locked="0"/>
    </xf>
    <xf numFmtId="49" fontId="48" fillId="4" borderId="3" xfId="0" applyNumberFormat="1" applyFont="1" applyFill="1" applyBorder="1" applyAlignment="1" applyProtection="1">
      <alignment horizontal="left" vertical="top" wrapText="1"/>
      <protection locked="0"/>
    </xf>
    <xf numFmtId="49" fontId="48" fillId="4" borderId="85" xfId="0" applyNumberFormat="1" applyFont="1" applyFill="1" applyBorder="1" applyAlignment="1" applyProtection="1">
      <alignment horizontal="left" vertical="top" wrapText="1"/>
      <protection locked="0"/>
    </xf>
    <xf numFmtId="49" fontId="59" fillId="4" borderId="4" xfId="0" applyNumberFormat="1" applyFont="1" applyFill="1" applyBorder="1" applyAlignment="1" applyProtection="1">
      <alignment horizontal="left" vertical="top" wrapText="1"/>
      <protection locked="0"/>
    </xf>
    <xf numFmtId="49" fontId="59" fillId="4" borderId="86" xfId="0" applyNumberFormat="1" applyFont="1" applyFill="1" applyBorder="1" applyAlignment="1" applyProtection="1">
      <alignment horizontal="left" vertical="top" wrapText="1"/>
      <protection locked="0"/>
    </xf>
  </cellXfs>
  <cellStyles count="5">
    <cellStyle name="Normal" xfId="0" builtinId="0"/>
    <cellStyle name="Normal - Style1 2" xfId="3"/>
    <cellStyle name="Normal 2" xfId="2"/>
    <cellStyle name="Normal 2 2" xfId="4"/>
    <cellStyle name="Porcentaje" xfId="1" builtinId="5"/>
  </cellStyles>
  <dxfs count="20">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1050132</xdr:colOff>
      <xdr:row>0</xdr:row>
      <xdr:rowOff>66818</xdr:rowOff>
    </xdr:from>
    <xdr:to>
      <xdr:col>7</xdr:col>
      <xdr:colOff>726282</xdr:colOff>
      <xdr:row>11</xdr:row>
      <xdr:rowOff>47624</xdr:rowOff>
    </xdr:to>
    <xdr:pic>
      <xdr:nvPicPr>
        <xdr:cNvPr id="2" name="Imagen 1">
          <a:extLst>
            <a:ext uri="{FF2B5EF4-FFF2-40B4-BE49-F238E27FC236}">
              <a16:creationId xmlns=""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7169945" y="66818"/>
          <a:ext cx="3676650" cy="23382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281667</xdr:colOff>
      <xdr:row>7</xdr:row>
      <xdr:rowOff>102768</xdr:rowOff>
    </xdr:from>
    <xdr:to>
      <xdr:col>6</xdr:col>
      <xdr:colOff>595313</xdr:colOff>
      <xdr:row>14</xdr:row>
      <xdr:rowOff>55289</xdr:rowOff>
    </xdr:to>
    <xdr:pic>
      <xdr:nvPicPr>
        <xdr:cNvPr id="4" name="Imagen 3">
          <a:extLst>
            <a:ext uri="{FF2B5EF4-FFF2-40B4-BE49-F238E27FC236}">
              <a16:creationId xmlns=""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4567917" y="2037534"/>
          <a:ext cx="3959935" cy="23486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esktop/cesar/HISTORICOS/2020-04-22_Formato_informe_sci_parametrizado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Definiciones"/>
      <sheetName val="Ambiente de Control"/>
      <sheetName val="Evaluación de riesgos"/>
      <sheetName val="Actividades de control"/>
      <sheetName val="Info y Comunicación"/>
      <sheetName val="Actividades de Monitoreo"/>
      <sheetName val="Analisis de Resultados"/>
      <sheetName val="Conclusiones"/>
      <sheetName val="Hoja1"/>
      <sheetName val="Hoja4"/>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topLeftCell="A3" zoomScale="90" zoomScaleNormal="90" workbookViewId="0">
      <selection activeCell="E13" sqref="E13:F13"/>
    </sheetView>
  </sheetViews>
  <sheetFormatPr baseColWidth="10" defaultColWidth="0" defaultRowHeight="12.75" zeroHeight="1" x14ac:dyDescent="0.2"/>
  <cols>
    <col min="1" max="1" width="3.85546875" style="45" customWidth="1"/>
    <col min="2" max="2" width="15.28515625" style="45" customWidth="1"/>
    <col min="3" max="3" width="17.28515625" style="45" customWidth="1"/>
    <col min="4" max="4" width="28.5703125" style="45" customWidth="1"/>
    <col min="5" max="5" width="12.85546875" style="45" customWidth="1"/>
    <col min="6" max="6" width="47.140625" style="45" customWidth="1"/>
    <col min="7" max="7" width="21.42578125" style="45" customWidth="1"/>
    <col min="8" max="8" width="6.5703125" style="45" customWidth="1"/>
    <col min="9" max="9" width="2.5703125" style="45" customWidth="1"/>
    <col min="10" max="16384" width="11.42578125" style="45" hidden="1"/>
  </cols>
  <sheetData>
    <row r="1" spans="2:8" ht="13.5" thickBot="1" x14ac:dyDescent="0.25"/>
    <row r="2" spans="2:8" ht="73.5" customHeight="1" x14ac:dyDescent="0.2">
      <c r="B2" s="197" t="s">
        <v>0</v>
      </c>
      <c r="C2" s="198"/>
      <c r="D2" s="198"/>
      <c r="E2" s="198"/>
      <c r="F2" s="198"/>
      <c r="G2" s="198"/>
      <c r="H2" s="199"/>
    </row>
    <row r="3" spans="2:8" ht="65.25" customHeight="1" x14ac:dyDescent="0.2">
      <c r="B3" s="200" t="s">
        <v>1</v>
      </c>
      <c r="C3" s="201"/>
      <c r="D3" s="201"/>
      <c r="E3" s="201"/>
      <c r="F3" s="201"/>
      <c r="G3" s="201"/>
      <c r="H3" s="202"/>
    </row>
    <row r="4" spans="2:8" ht="82.5" customHeight="1" x14ac:dyDescent="0.2">
      <c r="B4" s="200"/>
      <c r="C4" s="201"/>
      <c r="D4" s="201"/>
      <c r="E4" s="201"/>
      <c r="F4" s="201"/>
      <c r="G4" s="201"/>
      <c r="H4" s="202"/>
    </row>
    <row r="5" spans="2:8" ht="21.75" customHeight="1" x14ac:dyDescent="0.2">
      <c r="B5" s="203" t="s">
        <v>2</v>
      </c>
      <c r="C5" s="204"/>
      <c r="D5" s="204"/>
      <c r="E5" s="204"/>
      <c r="F5" s="204"/>
      <c r="G5" s="204"/>
      <c r="H5" s="205"/>
    </row>
    <row r="6" spans="2:8" ht="42" customHeight="1" x14ac:dyDescent="0.2">
      <c r="B6" s="206" t="s">
        <v>3</v>
      </c>
      <c r="C6" s="207"/>
      <c r="D6" s="207"/>
      <c r="E6" s="207"/>
      <c r="F6" s="207"/>
      <c r="G6" s="207"/>
      <c r="H6" s="208"/>
    </row>
    <row r="7" spans="2:8" ht="14.25" customHeight="1" x14ac:dyDescent="0.2">
      <c r="B7" s="206"/>
      <c r="C7" s="207"/>
      <c r="D7" s="207"/>
      <c r="E7" s="207"/>
      <c r="F7" s="207"/>
      <c r="G7" s="207"/>
      <c r="H7" s="208"/>
    </row>
    <row r="8" spans="2:8" ht="12.75" customHeight="1" thickBot="1" x14ac:dyDescent="0.25">
      <c r="B8" s="57"/>
      <c r="C8" s="51"/>
      <c r="D8" s="67"/>
      <c r="E8" s="68"/>
      <c r="F8" s="68"/>
      <c r="G8" s="65"/>
      <c r="H8" s="66"/>
    </row>
    <row r="9" spans="2:8" ht="21" customHeight="1" thickTop="1" x14ac:dyDescent="0.2">
      <c r="B9" s="57"/>
      <c r="C9" s="209" t="s">
        <v>4</v>
      </c>
      <c r="D9" s="210"/>
      <c r="E9" s="211" t="s">
        <v>5</v>
      </c>
      <c r="F9" s="212"/>
      <c r="G9" s="51"/>
      <c r="H9" s="59"/>
    </row>
    <row r="10" spans="2:8" ht="37.5" customHeight="1" x14ac:dyDescent="0.2">
      <c r="B10" s="57"/>
      <c r="C10" s="189" t="s">
        <v>6</v>
      </c>
      <c r="D10" s="190"/>
      <c r="E10" s="191" t="s">
        <v>7</v>
      </c>
      <c r="F10" s="192"/>
      <c r="G10" s="51"/>
      <c r="H10" s="59"/>
    </row>
    <row r="11" spans="2:8" ht="39.75" customHeight="1" x14ac:dyDescent="0.2">
      <c r="B11" s="57"/>
      <c r="C11" s="193" t="s">
        <v>8</v>
      </c>
      <c r="D11" s="194"/>
      <c r="E11" s="170" t="s">
        <v>9</v>
      </c>
      <c r="F11" s="171"/>
      <c r="G11" s="51"/>
      <c r="H11" s="59"/>
    </row>
    <row r="12" spans="2:8" ht="59.25" customHeight="1" x14ac:dyDescent="0.2">
      <c r="B12" s="57"/>
      <c r="C12" s="193" t="s">
        <v>10</v>
      </c>
      <c r="D12" s="194"/>
      <c r="E12" s="195" t="s">
        <v>11</v>
      </c>
      <c r="F12" s="196"/>
      <c r="G12" s="51"/>
      <c r="H12" s="59"/>
    </row>
    <row r="13" spans="2:8" ht="33.75" customHeight="1" x14ac:dyDescent="0.2">
      <c r="B13" s="57"/>
      <c r="C13" s="168" t="s">
        <v>12</v>
      </c>
      <c r="D13" s="169"/>
      <c r="E13" s="170" t="s">
        <v>13</v>
      </c>
      <c r="F13" s="171"/>
      <c r="G13" s="51"/>
      <c r="H13" s="59"/>
    </row>
    <row r="14" spans="2:8" ht="19.5" customHeight="1" x14ac:dyDescent="0.2">
      <c r="B14" s="57"/>
      <c r="C14" s="63"/>
      <c r="D14" s="63"/>
      <c r="E14" s="64"/>
      <c r="F14" s="64"/>
      <c r="G14" s="51"/>
      <c r="H14" s="59"/>
    </row>
    <row r="15" spans="2:8" ht="37.5" customHeight="1" thickBot="1" x14ac:dyDescent="0.25">
      <c r="B15" s="164" t="s">
        <v>14</v>
      </c>
      <c r="C15" s="165"/>
      <c r="D15" s="165"/>
      <c r="E15" s="165"/>
      <c r="F15" s="165"/>
      <c r="G15" s="165"/>
      <c r="H15" s="166"/>
    </row>
    <row r="16" spans="2:8" ht="27.75" customHeight="1" thickBot="1" x14ac:dyDescent="0.25">
      <c r="B16" s="57"/>
      <c r="C16" s="172" t="s">
        <v>15</v>
      </c>
      <c r="D16" s="173"/>
      <c r="E16" s="173" t="s">
        <v>16</v>
      </c>
      <c r="F16" s="184"/>
      <c r="G16" s="51"/>
      <c r="H16" s="59"/>
    </row>
    <row r="17" spans="2:8" ht="27.75" customHeight="1" x14ac:dyDescent="0.2">
      <c r="B17" s="57"/>
      <c r="C17" s="185" t="s">
        <v>17</v>
      </c>
      <c r="D17" s="186"/>
      <c r="E17" s="187" t="s">
        <v>18</v>
      </c>
      <c r="F17" s="188"/>
      <c r="G17" s="101"/>
      <c r="H17" s="59"/>
    </row>
    <row r="18" spans="2:8" ht="41.25" customHeight="1" x14ac:dyDescent="0.2">
      <c r="B18" s="57"/>
      <c r="C18" s="174" t="s">
        <v>19</v>
      </c>
      <c r="D18" s="175"/>
      <c r="E18" s="176" t="s">
        <v>20</v>
      </c>
      <c r="F18" s="177"/>
      <c r="G18" s="102"/>
      <c r="H18" s="59"/>
    </row>
    <row r="19" spans="2:8" ht="37.5" customHeight="1" thickBot="1" x14ac:dyDescent="0.25">
      <c r="B19" s="57"/>
      <c r="C19" s="178" t="s">
        <v>21</v>
      </c>
      <c r="D19" s="179"/>
      <c r="E19" s="180" t="s">
        <v>22</v>
      </c>
      <c r="F19" s="181"/>
      <c r="G19" s="102"/>
      <c r="H19" s="59"/>
    </row>
    <row r="20" spans="2:8" ht="11.25" customHeight="1" x14ac:dyDescent="0.2">
      <c r="B20" s="52"/>
      <c r="C20" s="53"/>
      <c r="D20" s="53"/>
      <c r="E20" s="53"/>
      <c r="F20" s="53"/>
      <c r="G20" s="53"/>
      <c r="H20" s="54"/>
    </row>
    <row r="21" spans="2:8" ht="14.25" customHeight="1" x14ac:dyDescent="0.2">
      <c r="B21" s="55"/>
      <c r="C21" s="182"/>
      <c r="D21" s="182"/>
      <c r="E21" s="183"/>
      <c r="F21" s="183"/>
      <c r="G21" s="183"/>
      <c r="H21" s="56"/>
    </row>
    <row r="22" spans="2:8" ht="36" customHeight="1" x14ac:dyDescent="0.2">
      <c r="B22" s="164" t="s">
        <v>23</v>
      </c>
      <c r="C22" s="165"/>
      <c r="D22" s="165"/>
      <c r="E22" s="165"/>
      <c r="F22" s="165"/>
      <c r="G22" s="165"/>
      <c r="H22" s="166"/>
    </row>
    <row r="23" spans="2:8" ht="13.5" x14ac:dyDescent="0.2">
      <c r="B23" s="57"/>
      <c r="C23" s="58"/>
      <c r="D23" s="58"/>
      <c r="E23" s="167"/>
      <c r="F23" s="167"/>
      <c r="G23" s="51"/>
      <c r="H23" s="59"/>
    </row>
    <row r="24" spans="2:8" ht="13.5" thickBot="1" x14ac:dyDescent="0.25">
      <c r="B24" s="60"/>
      <c r="C24" s="61"/>
      <c r="D24" s="61"/>
      <c r="E24" s="61"/>
      <c r="F24" s="61"/>
      <c r="G24" s="61"/>
      <c r="H24" s="62"/>
    </row>
    <row r="25" spans="2:8" x14ac:dyDescent="0.2"/>
    <row r="26" spans="2:8" ht="29.25" customHeight="1" x14ac:dyDescent="0.2"/>
    <row r="27" spans="2:8" ht="26.25" customHeight="1" x14ac:dyDescent="0.2"/>
    <row r="28" spans="2:8" ht="43.5" customHeight="1" x14ac:dyDescent="0.2"/>
    <row r="29" spans="2:8" ht="53.25" customHeight="1" x14ac:dyDescent="0.2"/>
    <row r="30" spans="2:8" x14ac:dyDescent="0.2"/>
    <row r="31" spans="2:8" x14ac:dyDescent="0.2"/>
    <row r="32" spans="2:8" x14ac:dyDescent="0.2"/>
    <row r="33" x14ac:dyDescent="0.2"/>
    <row r="34" x14ac:dyDescent="0.2"/>
    <row r="35"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x14ac:dyDescent="0.2"/>
    <row r="52" x14ac:dyDescent="0.2"/>
    <row r="54" x14ac:dyDescent="0.2"/>
  </sheetData>
  <sheetProtection algorithmName="SHA-512" hashValue="t7sIeOvFa2bhukBsHVcHmO5gG9cifT20ZR8W/o5PL1FLs7w8K+KkEm6wLVbMVfYFM8W9luBRuNKu+qdhAWPM7w==" saltValue="H/shNuEdnFDauevCofk8Sw==" spinCount="100000" sheet="1" objects="1" scenarios="1"/>
  <mergeCells count="27">
    <mergeCell ref="B2:H2"/>
    <mergeCell ref="B3:H4"/>
    <mergeCell ref="B5:H5"/>
    <mergeCell ref="B6:H7"/>
    <mergeCell ref="C9:D9"/>
    <mergeCell ref="E9:F9"/>
    <mergeCell ref="C10:D10"/>
    <mergeCell ref="E10:F10"/>
    <mergeCell ref="C11:D11"/>
    <mergeCell ref="E11:F11"/>
    <mergeCell ref="C12:D12"/>
    <mergeCell ref="E12:F12"/>
    <mergeCell ref="B22:H22"/>
    <mergeCell ref="E23:F23"/>
    <mergeCell ref="C13:D13"/>
    <mergeCell ref="E13:F13"/>
    <mergeCell ref="C16:D16"/>
    <mergeCell ref="C18:D18"/>
    <mergeCell ref="E18:F18"/>
    <mergeCell ref="C19:D19"/>
    <mergeCell ref="E19:F19"/>
    <mergeCell ref="C21:D21"/>
    <mergeCell ref="E21:G21"/>
    <mergeCell ref="B15:H15"/>
    <mergeCell ref="E16:F16"/>
    <mergeCell ref="C17:D17"/>
    <mergeCell ref="E17:F1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9"/>
  <sheetViews>
    <sheetView showGridLines="0" topLeftCell="D17" zoomScale="90" zoomScaleNormal="90" workbookViewId="0">
      <selection activeCell="G58" sqref="G58"/>
    </sheetView>
  </sheetViews>
  <sheetFormatPr baseColWidth="10" defaultColWidth="11.42578125" defaultRowHeight="16.5" x14ac:dyDescent="0.3"/>
  <cols>
    <col min="1" max="1" width="3" style="47" hidden="1" customWidth="1"/>
    <col min="2" max="2" width="9.42578125" style="47" customWidth="1"/>
    <col min="3" max="3" width="25.5703125" style="47" customWidth="1"/>
    <col min="4" max="4" width="46.5703125" style="47" customWidth="1"/>
    <col min="5" max="5" width="10.140625" style="70" customWidth="1"/>
    <col min="6" max="6" width="44.5703125" style="70" customWidth="1"/>
    <col min="7" max="7" width="15.42578125" style="47" customWidth="1"/>
    <col min="8" max="9" width="43" style="47" customWidth="1"/>
    <col min="10" max="12" width="11.42578125" style="75" customWidth="1"/>
    <col min="13" max="24" width="11.42578125" style="47" customWidth="1"/>
    <col min="25" max="16384" width="11.42578125" style="47"/>
  </cols>
  <sheetData>
    <row r="1" spans="1:32" x14ac:dyDescent="0.3">
      <c r="B1" s="46"/>
      <c r="C1" s="46"/>
      <c r="D1" s="46"/>
      <c r="E1" s="69"/>
      <c r="F1" s="69"/>
      <c r="G1" s="46"/>
      <c r="H1" s="46"/>
      <c r="I1" s="46"/>
      <c r="J1" s="71"/>
      <c r="K1" s="71"/>
      <c r="L1" s="72"/>
      <c r="M1" s="46"/>
      <c r="N1" s="46"/>
      <c r="O1" s="46"/>
      <c r="P1" s="46"/>
      <c r="Q1" s="46"/>
      <c r="R1" s="46"/>
      <c r="S1" s="46"/>
      <c r="T1" s="46"/>
      <c r="U1" s="46"/>
      <c r="V1" s="46"/>
      <c r="W1" s="46"/>
      <c r="X1" s="46"/>
    </row>
    <row r="2" spans="1:32" x14ac:dyDescent="0.3">
      <c r="B2" s="46"/>
      <c r="C2" s="46"/>
      <c r="D2" s="46"/>
      <c r="E2" s="69"/>
      <c r="F2" s="69"/>
      <c r="G2" s="46"/>
      <c r="H2" s="46"/>
      <c r="I2" s="46"/>
      <c r="J2" s="71"/>
      <c r="K2" s="71"/>
      <c r="L2" s="72"/>
      <c r="M2" s="46"/>
      <c r="N2" s="46"/>
      <c r="O2" s="46"/>
      <c r="P2" s="46"/>
      <c r="Q2" s="46"/>
      <c r="R2" s="46"/>
      <c r="S2" s="46"/>
      <c r="T2" s="46"/>
      <c r="U2" s="46"/>
      <c r="V2" s="46"/>
      <c r="W2" s="46"/>
      <c r="X2" s="46"/>
    </row>
    <row r="3" spans="1:32" x14ac:dyDescent="0.3">
      <c r="B3" s="46"/>
      <c r="C3" s="46"/>
      <c r="D3" s="46"/>
      <c r="E3" s="69"/>
      <c r="F3" s="69"/>
      <c r="G3" s="46"/>
      <c r="H3" s="46"/>
      <c r="I3" s="46"/>
      <c r="J3" s="71"/>
      <c r="K3" s="71"/>
      <c r="L3" s="72"/>
      <c r="M3" s="46"/>
      <c r="N3" s="46"/>
      <c r="O3" s="46"/>
      <c r="P3" s="46"/>
      <c r="Q3" s="46"/>
      <c r="R3" s="46"/>
      <c r="S3" s="46"/>
      <c r="T3" s="46"/>
      <c r="U3" s="46"/>
      <c r="V3" s="46"/>
      <c r="W3" s="46"/>
      <c r="X3" s="46"/>
    </row>
    <row r="4" spans="1:32" x14ac:dyDescent="0.3">
      <c r="B4" s="46"/>
      <c r="C4" s="46"/>
      <c r="D4" s="46"/>
      <c r="E4" s="69"/>
      <c r="F4" s="69"/>
      <c r="G4" s="46"/>
      <c r="H4" s="46"/>
      <c r="I4" s="46"/>
      <c r="J4" s="71"/>
      <c r="K4" s="71"/>
      <c r="L4" s="72"/>
      <c r="M4" s="46"/>
      <c r="N4" s="46"/>
      <c r="O4" s="46"/>
      <c r="P4" s="46"/>
      <c r="Q4" s="46"/>
      <c r="R4" s="46"/>
      <c r="S4" s="46"/>
      <c r="T4" s="46"/>
      <c r="U4" s="46"/>
      <c r="V4" s="46"/>
      <c r="W4" s="46"/>
      <c r="X4" s="46"/>
    </row>
    <row r="5" spans="1:32" x14ac:dyDescent="0.3">
      <c r="B5" s="46"/>
      <c r="C5" s="46"/>
      <c r="D5" s="46"/>
      <c r="E5" s="69"/>
      <c r="F5" s="69"/>
      <c r="G5" s="46"/>
      <c r="H5" s="46"/>
      <c r="I5" s="46"/>
      <c r="J5" s="71"/>
      <c r="K5" s="71"/>
      <c r="L5" s="72"/>
      <c r="M5" s="46"/>
      <c r="N5" s="46"/>
      <c r="O5" s="46"/>
      <c r="P5" s="46"/>
      <c r="Q5" s="46"/>
      <c r="R5" s="46"/>
      <c r="S5" s="46"/>
      <c r="T5" s="46"/>
      <c r="U5" s="46"/>
      <c r="V5" s="46"/>
      <c r="W5" s="46"/>
      <c r="X5" s="46"/>
    </row>
    <row r="6" spans="1:32" x14ac:dyDescent="0.3">
      <c r="B6" s="46"/>
      <c r="C6" s="46"/>
      <c r="D6" s="46"/>
      <c r="E6" s="69"/>
      <c r="F6" s="69"/>
      <c r="G6" s="46"/>
      <c r="H6" s="46"/>
      <c r="I6" s="46"/>
      <c r="J6" s="71"/>
      <c r="K6" s="71"/>
      <c r="L6" s="72"/>
      <c r="M6" s="46"/>
      <c r="N6" s="46"/>
      <c r="O6" s="46"/>
      <c r="P6" s="46"/>
      <c r="Q6" s="46"/>
      <c r="R6" s="46"/>
      <c r="S6" s="46"/>
      <c r="T6" s="46"/>
      <c r="U6" s="46"/>
      <c r="V6" s="46"/>
      <c r="W6" s="46"/>
      <c r="X6" s="46"/>
    </row>
    <row r="7" spans="1:32" x14ac:dyDescent="0.3">
      <c r="B7" s="46"/>
      <c r="C7" s="46"/>
      <c r="D7" s="46"/>
      <c r="E7" s="69"/>
      <c r="F7" s="69"/>
      <c r="G7" s="46"/>
      <c r="H7" s="46"/>
      <c r="I7" s="46"/>
      <c r="J7" s="71"/>
      <c r="K7" s="71"/>
      <c r="L7" s="72"/>
      <c r="M7" s="46"/>
      <c r="N7" s="46"/>
      <c r="O7" s="46"/>
      <c r="P7" s="46"/>
      <c r="Q7" s="46"/>
      <c r="R7" s="46"/>
      <c r="S7" s="46"/>
      <c r="T7" s="46"/>
      <c r="U7" s="46"/>
      <c r="V7" s="46"/>
      <c r="W7" s="46"/>
      <c r="X7" s="46"/>
    </row>
    <row r="8" spans="1:32" x14ac:dyDescent="0.3">
      <c r="B8" s="46"/>
      <c r="C8" s="46"/>
      <c r="D8" s="46"/>
      <c r="E8" s="69"/>
      <c r="F8" s="69"/>
      <c r="G8" s="46"/>
      <c r="H8" s="46"/>
      <c r="I8" s="46"/>
      <c r="J8" s="71"/>
      <c r="K8" s="71"/>
      <c r="L8" s="72"/>
      <c r="M8" s="46"/>
      <c r="N8" s="46"/>
      <c r="O8" s="46"/>
      <c r="P8" s="46"/>
      <c r="Q8" s="46"/>
      <c r="R8" s="46"/>
      <c r="S8" s="46"/>
      <c r="T8" s="46"/>
      <c r="U8" s="46"/>
      <c r="V8" s="46"/>
      <c r="W8" s="46"/>
      <c r="X8" s="46"/>
    </row>
    <row r="9" spans="1:32" x14ac:dyDescent="0.3">
      <c r="B9" s="46"/>
      <c r="C9" s="46"/>
      <c r="D9" s="46"/>
      <c r="E9" s="69"/>
      <c r="F9" s="69"/>
      <c r="G9" s="46"/>
      <c r="H9" s="46"/>
      <c r="I9" s="46"/>
      <c r="J9" s="71"/>
      <c r="K9" s="71"/>
      <c r="L9" s="72"/>
      <c r="M9" s="46"/>
      <c r="N9" s="46"/>
      <c r="O9" s="46"/>
      <c r="P9" s="46"/>
      <c r="Q9" s="46"/>
      <c r="R9" s="46"/>
      <c r="S9" s="46"/>
      <c r="T9" s="46"/>
      <c r="U9" s="46"/>
      <c r="V9" s="46"/>
      <c r="W9" s="46"/>
      <c r="X9" s="46"/>
    </row>
    <row r="10" spans="1:32" x14ac:dyDescent="0.3">
      <c r="B10" s="46"/>
      <c r="C10" s="46"/>
      <c r="D10" s="46"/>
      <c r="E10" s="69"/>
      <c r="F10" s="69"/>
      <c r="G10" s="46"/>
      <c r="H10" s="46"/>
      <c r="I10" s="46"/>
      <c r="J10" s="71"/>
      <c r="K10" s="71"/>
      <c r="L10" s="72"/>
      <c r="M10" s="46"/>
      <c r="N10" s="46"/>
      <c r="O10" s="46"/>
      <c r="P10" s="46"/>
      <c r="Q10" s="46"/>
      <c r="R10" s="46"/>
      <c r="S10" s="46"/>
      <c r="T10" s="46"/>
      <c r="U10" s="46"/>
      <c r="V10" s="46"/>
      <c r="W10" s="46"/>
      <c r="X10" s="46"/>
    </row>
    <row r="11" spans="1:32" x14ac:dyDescent="0.3">
      <c r="B11" s="46"/>
      <c r="C11" s="46"/>
      <c r="D11" s="46"/>
      <c r="E11" s="69"/>
      <c r="F11" s="69"/>
      <c r="G11" s="46"/>
      <c r="H11" s="46"/>
      <c r="I11" s="46"/>
      <c r="J11" s="71"/>
      <c r="K11" s="71"/>
      <c r="L11" s="72"/>
      <c r="M11" s="46"/>
      <c r="N11" s="46"/>
      <c r="O11" s="46"/>
      <c r="P11" s="46"/>
      <c r="Q11" s="46"/>
      <c r="R11" s="46"/>
      <c r="S11" s="46"/>
      <c r="T11" s="46"/>
      <c r="U11" s="46"/>
      <c r="V11" s="46"/>
      <c r="W11" s="46"/>
      <c r="X11" s="46"/>
    </row>
    <row r="12" spans="1:32" x14ac:dyDescent="0.3">
      <c r="B12" s="46"/>
      <c r="C12" s="46"/>
      <c r="D12" s="46"/>
      <c r="E12" s="69"/>
      <c r="F12" s="69"/>
      <c r="G12" s="46"/>
      <c r="H12" s="46"/>
      <c r="I12" s="46"/>
      <c r="J12" s="71"/>
      <c r="K12" s="71"/>
      <c r="L12" s="72"/>
      <c r="M12" s="46"/>
      <c r="N12" s="46"/>
      <c r="O12" s="46"/>
      <c r="P12" s="46"/>
      <c r="Q12" s="46"/>
      <c r="R12" s="46"/>
      <c r="S12" s="46"/>
      <c r="T12" s="46"/>
      <c r="U12" s="46"/>
      <c r="V12" s="46"/>
      <c r="W12" s="46"/>
      <c r="X12" s="46"/>
    </row>
    <row r="13" spans="1:32" x14ac:dyDescent="0.3">
      <c r="B13" s="46"/>
      <c r="C13" s="46"/>
      <c r="D13" s="46"/>
      <c r="E13" s="69"/>
      <c r="F13" s="69"/>
      <c r="G13" s="46"/>
      <c r="H13" s="46"/>
      <c r="I13" s="46"/>
      <c r="J13" s="71"/>
      <c r="K13" s="71"/>
      <c r="L13" s="72"/>
      <c r="M13" s="46"/>
      <c r="N13" s="46"/>
      <c r="O13" s="46"/>
      <c r="P13" s="46"/>
      <c r="Q13" s="46"/>
      <c r="R13" s="46"/>
      <c r="S13" s="46"/>
      <c r="T13" s="46"/>
      <c r="U13" s="46"/>
      <c r="V13" s="46"/>
      <c r="W13" s="46"/>
      <c r="X13" s="46"/>
    </row>
    <row r="14" spans="1:32" s="49" customFormat="1" ht="49.5" customHeight="1" x14ac:dyDescent="0.25">
      <c r="B14" s="213" t="s">
        <v>24</v>
      </c>
      <c r="C14" s="213"/>
      <c r="D14" s="213"/>
      <c r="E14" s="213"/>
      <c r="F14" s="213"/>
      <c r="G14" s="213"/>
      <c r="H14" s="213"/>
      <c r="I14" s="213"/>
      <c r="J14" s="73"/>
      <c r="K14" s="73"/>
      <c r="L14" s="74"/>
      <c r="M14" s="48"/>
      <c r="N14" s="48"/>
      <c r="O14" s="48"/>
      <c r="P14" s="48"/>
      <c r="Q14" s="48"/>
      <c r="R14" s="48"/>
      <c r="S14" s="48"/>
      <c r="T14" s="48"/>
      <c r="U14" s="48"/>
      <c r="V14" s="48"/>
      <c r="W14" s="48"/>
      <c r="X14" s="48"/>
      <c r="Y14" s="48"/>
      <c r="Z14" s="48"/>
      <c r="AA14" s="48"/>
      <c r="AB14" s="48"/>
      <c r="AC14" s="48"/>
      <c r="AD14" s="48"/>
      <c r="AE14" s="48"/>
      <c r="AF14" s="48"/>
    </row>
    <row r="15" spans="1:32" s="49" customFormat="1" ht="123.75" customHeight="1" thickBot="1" x14ac:dyDescent="0.3">
      <c r="B15" s="77" t="s">
        <v>25</v>
      </c>
      <c r="C15" s="77" t="s">
        <v>6</v>
      </c>
      <c r="D15" s="78" t="s">
        <v>8</v>
      </c>
      <c r="E15" s="79" t="s">
        <v>26</v>
      </c>
      <c r="F15" s="79" t="s">
        <v>27</v>
      </c>
      <c r="G15" s="79" t="s">
        <v>28</v>
      </c>
      <c r="H15" s="80" t="s">
        <v>29</v>
      </c>
      <c r="I15" s="79" t="s">
        <v>30</v>
      </c>
      <c r="J15" s="73"/>
      <c r="K15" s="73"/>
      <c r="L15" s="74"/>
      <c r="M15" s="48"/>
      <c r="N15" s="48"/>
      <c r="O15" s="48"/>
      <c r="P15" s="48"/>
      <c r="Q15" s="48"/>
      <c r="R15" s="48"/>
      <c r="S15" s="48"/>
      <c r="T15" s="48"/>
      <c r="U15" s="48"/>
      <c r="V15" s="48"/>
      <c r="W15" s="48"/>
      <c r="X15" s="48"/>
      <c r="Y15" s="48"/>
      <c r="Z15" s="48"/>
      <c r="AA15" s="48"/>
      <c r="AB15" s="48"/>
      <c r="AC15" s="48"/>
      <c r="AD15" s="48"/>
      <c r="AE15" s="48"/>
      <c r="AF15" s="48"/>
    </row>
    <row r="16" spans="1:32" s="49" customFormat="1" ht="71.25" customHeight="1" x14ac:dyDescent="0.25">
      <c r="A16" s="103" t="str">
        <f>1&amp;E16</f>
        <v>1a</v>
      </c>
      <c r="B16" s="229" t="s">
        <v>31</v>
      </c>
      <c r="C16" s="239" t="s">
        <v>32</v>
      </c>
      <c r="D16" s="226" t="s">
        <v>33</v>
      </c>
      <c r="E16" s="81" t="s">
        <v>34</v>
      </c>
      <c r="F16" s="82" t="s">
        <v>35</v>
      </c>
      <c r="G16" s="112" t="s">
        <v>39</v>
      </c>
      <c r="H16" s="113" t="s">
        <v>193</v>
      </c>
      <c r="I16" s="104" t="str">
        <f>+IF(G16="Si","Mantenimiento del control",IF(G16="En proceso","Oportunidad de mejora","Deficiencia de control"))</f>
        <v>Mantenimiento del control</v>
      </c>
      <c r="J16" s="105">
        <f t="shared" ref="J16:J27" si="0">+IF(G16="Si",20,IF(G16="En proceso",10,0))</f>
        <v>20</v>
      </c>
      <c r="K16" s="105">
        <v>0.123</v>
      </c>
      <c r="L16" s="105">
        <f>+J16+K16</f>
        <v>20.123000000000001</v>
      </c>
    </row>
    <row r="17" spans="1:32" s="49" customFormat="1" ht="115.5" x14ac:dyDescent="0.25">
      <c r="A17" s="103" t="str">
        <f t="shared" ref="A17:A27" si="1">1&amp;E17</f>
        <v>1b</v>
      </c>
      <c r="B17" s="230"/>
      <c r="C17" s="240"/>
      <c r="D17" s="227"/>
      <c r="E17" s="83" t="s">
        <v>37</v>
      </c>
      <c r="F17" s="84" t="s">
        <v>38</v>
      </c>
      <c r="G17" s="114" t="s">
        <v>39</v>
      </c>
      <c r="H17" s="115" t="s">
        <v>194</v>
      </c>
      <c r="I17" s="106" t="str">
        <f t="shared" ref="I17:I59" si="2">+IF(G17="Si","Mantenimiento del control",IF(G17="En proceso","Oportunidad de mejora","Deficiencia de control"))</f>
        <v>Mantenimiento del control</v>
      </c>
      <c r="J17" s="107">
        <f t="shared" si="0"/>
        <v>20</v>
      </c>
      <c r="K17" s="105">
        <v>0.1234</v>
      </c>
      <c r="L17" s="105">
        <f t="shared" ref="L17:L59" si="3">+J17+K17</f>
        <v>20.1234</v>
      </c>
    </row>
    <row r="18" spans="1:32" s="49" customFormat="1" ht="64.5" customHeight="1" x14ac:dyDescent="0.25">
      <c r="A18" s="103" t="str">
        <f t="shared" si="1"/>
        <v>1c</v>
      </c>
      <c r="B18" s="230"/>
      <c r="C18" s="240"/>
      <c r="D18" s="227"/>
      <c r="E18" s="83" t="s">
        <v>40</v>
      </c>
      <c r="F18" s="85" t="s">
        <v>41</v>
      </c>
      <c r="G18" s="116" t="s">
        <v>39</v>
      </c>
      <c r="H18" s="117" t="s">
        <v>195</v>
      </c>
      <c r="I18" s="108" t="str">
        <f t="shared" si="2"/>
        <v>Mantenimiento del control</v>
      </c>
      <c r="J18" s="107">
        <f t="shared" si="0"/>
        <v>20</v>
      </c>
      <c r="K18" s="105">
        <v>0.12345</v>
      </c>
      <c r="L18" s="105">
        <f t="shared" si="3"/>
        <v>20.123449999999998</v>
      </c>
    </row>
    <row r="19" spans="1:32" s="49" customFormat="1" ht="37.5" customHeight="1" x14ac:dyDescent="0.25">
      <c r="A19" s="103" t="str">
        <f t="shared" si="1"/>
        <v>1d</v>
      </c>
      <c r="B19" s="230"/>
      <c r="C19" s="240"/>
      <c r="D19" s="227"/>
      <c r="E19" s="83" t="s">
        <v>42</v>
      </c>
      <c r="F19" s="85" t="s">
        <v>43</v>
      </c>
      <c r="G19" s="116" t="s">
        <v>39</v>
      </c>
      <c r="H19" s="117" t="s">
        <v>196</v>
      </c>
      <c r="I19" s="108" t="str">
        <f t="shared" si="2"/>
        <v>Mantenimiento del control</v>
      </c>
      <c r="J19" s="107">
        <f t="shared" si="0"/>
        <v>20</v>
      </c>
      <c r="K19" s="105">
        <v>0.123456</v>
      </c>
      <c r="L19" s="105">
        <f t="shared" si="3"/>
        <v>20.123456000000001</v>
      </c>
    </row>
    <row r="20" spans="1:32" s="49" customFormat="1" ht="49.5" x14ac:dyDescent="0.25">
      <c r="A20" s="103" t="str">
        <f t="shared" si="1"/>
        <v>1e</v>
      </c>
      <c r="B20" s="230"/>
      <c r="C20" s="240"/>
      <c r="D20" s="227"/>
      <c r="E20" s="83" t="s">
        <v>44</v>
      </c>
      <c r="F20" s="85" t="s">
        <v>45</v>
      </c>
      <c r="G20" s="116" t="s">
        <v>76</v>
      </c>
      <c r="H20" s="117" t="s">
        <v>197</v>
      </c>
      <c r="I20" s="108" t="str">
        <f t="shared" si="2"/>
        <v>Oportunidad de mejora</v>
      </c>
      <c r="J20" s="107">
        <f t="shared" si="0"/>
        <v>10</v>
      </c>
      <c r="K20" s="105">
        <v>0.12345678</v>
      </c>
      <c r="L20" s="105">
        <f t="shared" si="3"/>
        <v>10.12345678</v>
      </c>
    </row>
    <row r="21" spans="1:32" s="49" customFormat="1" ht="63.75" customHeight="1" x14ac:dyDescent="0.25">
      <c r="A21" s="103" t="str">
        <f t="shared" si="1"/>
        <v>1f</v>
      </c>
      <c r="B21" s="230"/>
      <c r="C21" s="240"/>
      <c r="D21" s="227"/>
      <c r="E21" s="83" t="s">
        <v>46</v>
      </c>
      <c r="F21" s="85" t="s">
        <v>47</v>
      </c>
      <c r="G21" s="116" t="s">
        <v>76</v>
      </c>
      <c r="H21" s="117" t="s">
        <v>198</v>
      </c>
      <c r="I21" s="108" t="str">
        <f t="shared" si="2"/>
        <v>Oportunidad de mejora</v>
      </c>
      <c r="J21" s="107">
        <f t="shared" si="0"/>
        <v>10</v>
      </c>
      <c r="K21" s="105">
        <v>0.123456789</v>
      </c>
      <c r="L21" s="105">
        <f t="shared" si="3"/>
        <v>10.123456789</v>
      </c>
    </row>
    <row r="22" spans="1:32" s="49" customFormat="1" ht="65.25" customHeight="1" x14ac:dyDescent="0.25">
      <c r="A22" s="103" t="str">
        <f t="shared" si="1"/>
        <v>1g</v>
      </c>
      <c r="B22" s="230"/>
      <c r="C22" s="240"/>
      <c r="D22" s="227"/>
      <c r="E22" s="83" t="s">
        <v>48</v>
      </c>
      <c r="F22" s="85" t="s">
        <v>49</v>
      </c>
      <c r="G22" s="116" t="s">
        <v>39</v>
      </c>
      <c r="H22" s="117" t="s">
        <v>199</v>
      </c>
      <c r="I22" s="108" t="str">
        <f t="shared" si="2"/>
        <v>Mantenimiento del control</v>
      </c>
      <c r="J22" s="107">
        <f t="shared" si="0"/>
        <v>20</v>
      </c>
      <c r="K22" s="105">
        <v>0.12345678910000001</v>
      </c>
      <c r="L22" s="105">
        <f t="shared" si="3"/>
        <v>20.1234567891</v>
      </c>
    </row>
    <row r="23" spans="1:32" s="49" customFormat="1" ht="62.25" customHeight="1" x14ac:dyDescent="0.25">
      <c r="A23" s="103" t="str">
        <f t="shared" si="1"/>
        <v>1h</v>
      </c>
      <c r="B23" s="230"/>
      <c r="C23" s="240"/>
      <c r="D23" s="227"/>
      <c r="E23" s="83" t="s">
        <v>50</v>
      </c>
      <c r="F23" s="85" t="s">
        <v>51</v>
      </c>
      <c r="G23" s="116" t="s">
        <v>76</v>
      </c>
      <c r="H23" s="117" t="s">
        <v>200</v>
      </c>
      <c r="I23" s="108" t="str">
        <f t="shared" si="2"/>
        <v>Oportunidad de mejora</v>
      </c>
      <c r="J23" s="107">
        <f t="shared" si="0"/>
        <v>10</v>
      </c>
      <c r="K23" s="105">
        <v>0.12345678911999999</v>
      </c>
      <c r="L23" s="105">
        <f t="shared" si="3"/>
        <v>10.12345678912</v>
      </c>
    </row>
    <row r="24" spans="1:32" s="49" customFormat="1" ht="57.75" customHeight="1" x14ac:dyDescent="0.25">
      <c r="A24" s="103" t="str">
        <f t="shared" si="1"/>
        <v>1i</v>
      </c>
      <c r="B24" s="230"/>
      <c r="C24" s="240"/>
      <c r="D24" s="227"/>
      <c r="E24" s="83" t="s">
        <v>52</v>
      </c>
      <c r="F24" s="85" t="s">
        <v>53</v>
      </c>
      <c r="G24" s="116" t="s">
        <v>76</v>
      </c>
      <c r="H24" s="117" t="s">
        <v>201</v>
      </c>
      <c r="I24" s="108" t="str">
        <f t="shared" si="2"/>
        <v>Oportunidad de mejora</v>
      </c>
      <c r="J24" s="107">
        <f t="shared" si="0"/>
        <v>10</v>
      </c>
      <c r="K24" s="105">
        <v>0.123456789123</v>
      </c>
      <c r="L24" s="105">
        <f t="shared" si="3"/>
        <v>10.123456789123001</v>
      </c>
    </row>
    <row r="25" spans="1:32" s="49" customFormat="1" ht="82.5" x14ac:dyDescent="0.25">
      <c r="A25" s="103" t="str">
        <f t="shared" si="1"/>
        <v>1j</v>
      </c>
      <c r="B25" s="230"/>
      <c r="C25" s="240"/>
      <c r="D25" s="227"/>
      <c r="E25" s="83" t="s">
        <v>54</v>
      </c>
      <c r="F25" s="85" t="s">
        <v>55</v>
      </c>
      <c r="G25" s="116" t="s">
        <v>39</v>
      </c>
      <c r="H25" s="117" t="s">
        <v>202</v>
      </c>
      <c r="I25" s="108" t="str">
        <f t="shared" si="2"/>
        <v>Mantenimiento del control</v>
      </c>
      <c r="J25" s="107">
        <f t="shared" si="0"/>
        <v>20</v>
      </c>
      <c r="K25" s="105">
        <v>0.1234567891234</v>
      </c>
      <c r="L25" s="105">
        <f t="shared" si="3"/>
        <v>20.123456789123399</v>
      </c>
    </row>
    <row r="26" spans="1:32" s="49" customFormat="1" ht="66" x14ac:dyDescent="0.25">
      <c r="A26" s="103" t="str">
        <f t="shared" si="1"/>
        <v>1k</v>
      </c>
      <c r="B26" s="230"/>
      <c r="C26" s="240"/>
      <c r="D26" s="227"/>
      <c r="E26" s="83" t="s">
        <v>56</v>
      </c>
      <c r="F26" s="85" t="s">
        <v>57</v>
      </c>
      <c r="G26" s="116" t="s">
        <v>39</v>
      </c>
      <c r="H26" s="117" t="s">
        <v>191</v>
      </c>
      <c r="I26" s="108" t="str">
        <f t="shared" si="2"/>
        <v>Mantenimiento del control</v>
      </c>
      <c r="J26" s="107">
        <f t="shared" si="0"/>
        <v>20</v>
      </c>
      <c r="K26" s="105">
        <v>0.12345678912345</v>
      </c>
      <c r="L26" s="105">
        <f t="shared" si="3"/>
        <v>20.123456789123448</v>
      </c>
    </row>
    <row r="27" spans="1:32" s="49" customFormat="1" ht="66.75" thickBot="1" x14ac:dyDescent="0.3">
      <c r="A27" s="103" t="str">
        <f t="shared" si="1"/>
        <v>1l</v>
      </c>
      <c r="B27" s="231"/>
      <c r="C27" s="241"/>
      <c r="D27" s="228"/>
      <c r="E27" s="86" t="s">
        <v>58</v>
      </c>
      <c r="F27" s="87" t="s">
        <v>59</v>
      </c>
      <c r="G27" s="118" t="s">
        <v>39</v>
      </c>
      <c r="H27" s="119" t="s">
        <v>203</v>
      </c>
      <c r="I27" s="109" t="str">
        <f t="shared" si="2"/>
        <v>Mantenimiento del control</v>
      </c>
      <c r="J27" s="107">
        <f t="shared" si="0"/>
        <v>20</v>
      </c>
      <c r="K27" s="105">
        <v>0.12345678912345601</v>
      </c>
      <c r="L27" s="105">
        <f t="shared" si="3"/>
        <v>20.123456789123455</v>
      </c>
    </row>
    <row r="28" spans="1:32" s="49" customFormat="1" ht="49.5" x14ac:dyDescent="0.25">
      <c r="A28" s="103" t="str">
        <f>2&amp;E28</f>
        <v>2a</v>
      </c>
      <c r="B28" s="232" t="s">
        <v>60</v>
      </c>
      <c r="C28" s="242" t="s">
        <v>61</v>
      </c>
      <c r="D28" s="235" t="s">
        <v>62</v>
      </c>
      <c r="E28" s="81" t="s">
        <v>34</v>
      </c>
      <c r="F28" s="82" t="s">
        <v>63</v>
      </c>
      <c r="G28" s="112" t="s">
        <v>39</v>
      </c>
      <c r="H28" s="113" t="s">
        <v>204</v>
      </c>
      <c r="I28" s="104" t="str">
        <f t="shared" si="2"/>
        <v>Mantenimiento del control</v>
      </c>
      <c r="J28" s="105">
        <f>+IF(G28="Si",40,IF(G28="En proceso",30,20))</f>
        <v>40</v>
      </c>
      <c r="K28" s="105">
        <v>0.23</v>
      </c>
      <c r="L28" s="105">
        <f t="shared" si="3"/>
        <v>40.229999999999997</v>
      </c>
    </row>
    <row r="29" spans="1:32" s="49" customFormat="1" ht="66" x14ac:dyDescent="0.25">
      <c r="A29" s="103" t="str">
        <f t="shared" ref="A29:A31" si="4">2&amp;E29</f>
        <v>2b</v>
      </c>
      <c r="B29" s="233"/>
      <c r="C29" s="243"/>
      <c r="D29" s="236"/>
      <c r="E29" s="83" t="s">
        <v>37</v>
      </c>
      <c r="F29" s="85" t="s">
        <v>64</v>
      </c>
      <c r="G29" s="116" t="s">
        <v>76</v>
      </c>
      <c r="H29" s="117" t="s">
        <v>205</v>
      </c>
      <c r="I29" s="108" t="str">
        <f t="shared" si="2"/>
        <v>Oportunidad de mejora</v>
      </c>
      <c r="J29" s="105">
        <f>+IF(G29="Si",40,IF(G29="En proceso",30,20))</f>
        <v>30</v>
      </c>
      <c r="K29" s="105">
        <v>0.23400000000000001</v>
      </c>
      <c r="L29" s="105">
        <f t="shared" si="3"/>
        <v>30.234000000000002</v>
      </c>
    </row>
    <row r="30" spans="1:32" s="49" customFormat="1" ht="49.5" x14ac:dyDescent="0.25">
      <c r="A30" s="103" t="str">
        <f t="shared" si="4"/>
        <v>2c</v>
      </c>
      <c r="B30" s="233"/>
      <c r="C30" s="243"/>
      <c r="D30" s="236"/>
      <c r="E30" s="83" t="s">
        <v>40</v>
      </c>
      <c r="F30" s="85" t="s">
        <v>65</v>
      </c>
      <c r="G30" s="116" t="s">
        <v>39</v>
      </c>
      <c r="H30" s="117" t="s">
        <v>206</v>
      </c>
      <c r="I30" s="108" t="str">
        <f t="shared" si="2"/>
        <v>Mantenimiento del control</v>
      </c>
      <c r="J30" s="105">
        <f>+IF(G30="Si",40,IF(G30="En proceso",30,20))</f>
        <v>40</v>
      </c>
      <c r="K30" s="105">
        <v>0.23449999999999999</v>
      </c>
      <c r="L30" s="105">
        <f t="shared" si="3"/>
        <v>40.234499999999997</v>
      </c>
    </row>
    <row r="31" spans="1:32" s="49" customFormat="1" ht="66.75" thickBot="1" x14ac:dyDescent="0.3">
      <c r="A31" s="103" t="str">
        <f t="shared" si="4"/>
        <v>2d</v>
      </c>
      <c r="B31" s="234"/>
      <c r="C31" s="244"/>
      <c r="D31" s="237"/>
      <c r="E31" s="86" t="s">
        <v>42</v>
      </c>
      <c r="F31" s="87" t="s">
        <v>66</v>
      </c>
      <c r="G31" s="118" t="s">
        <v>76</v>
      </c>
      <c r="H31" s="119" t="s">
        <v>207</v>
      </c>
      <c r="I31" s="109" t="str">
        <f t="shared" si="2"/>
        <v>Oportunidad de mejora</v>
      </c>
      <c r="J31" s="105">
        <f>+IF(G31="Si",40,IF(G31="En proceso",30,20))</f>
        <v>30</v>
      </c>
      <c r="K31" s="105">
        <v>0.23455999999999999</v>
      </c>
      <c r="L31" s="105">
        <f t="shared" si="3"/>
        <v>30.234559999999998</v>
      </c>
    </row>
    <row r="32" spans="1:32" s="49" customFormat="1" ht="49.5" customHeight="1" x14ac:dyDescent="0.25">
      <c r="A32" s="103" t="str">
        <f>3&amp;E32</f>
        <v>3a</v>
      </c>
      <c r="B32" s="254" t="s">
        <v>67</v>
      </c>
      <c r="C32" s="254" t="s">
        <v>61</v>
      </c>
      <c r="D32" s="255" t="s">
        <v>68</v>
      </c>
      <c r="E32" s="88" t="s">
        <v>34</v>
      </c>
      <c r="F32" s="85" t="s">
        <v>69</v>
      </c>
      <c r="G32" s="116" t="s">
        <v>39</v>
      </c>
      <c r="H32" s="117" t="s">
        <v>208</v>
      </c>
      <c r="I32" s="108" t="str">
        <f t="shared" si="2"/>
        <v>Mantenimiento del control</v>
      </c>
      <c r="J32" s="105">
        <f t="shared" ref="J32:J37" si="5">+IF(G32="Si",40,IF(G32="En proceso",30,20))</f>
        <v>40</v>
      </c>
      <c r="K32" s="110">
        <v>0.234567</v>
      </c>
      <c r="L32" s="105">
        <f t="shared" ref="L32:L37" si="6">+J32+K32</f>
        <v>40.234566999999998</v>
      </c>
      <c r="M32" s="48"/>
      <c r="N32" s="48"/>
      <c r="O32" s="48"/>
      <c r="P32" s="48"/>
      <c r="Q32" s="48"/>
      <c r="R32" s="48"/>
      <c r="S32" s="48"/>
      <c r="T32" s="48"/>
      <c r="U32" s="48"/>
      <c r="V32" s="48"/>
      <c r="W32" s="48"/>
      <c r="X32" s="48"/>
      <c r="Y32" s="48"/>
      <c r="Z32" s="48"/>
      <c r="AA32" s="48"/>
      <c r="AB32" s="48"/>
      <c r="AC32" s="48"/>
      <c r="AD32" s="48"/>
      <c r="AE32" s="48"/>
      <c r="AF32" s="48"/>
    </row>
    <row r="33" spans="1:32" s="49" customFormat="1" ht="49.5" customHeight="1" x14ac:dyDescent="0.25">
      <c r="A33" s="103" t="str">
        <f t="shared" ref="A33:A34" si="7">3&amp;E33</f>
        <v>3b</v>
      </c>
      <c r="B33" s="254"/>
      <c r="C33" s="254"/>
      <c r="D33" s="255"/>
      <c r="E33" s="88" t="s">
        <v>37</v>
      </c>
      <c r="F33" s="85" t="s">
        <v>70</v>
      </c>
      <c r="G33" s="116" t="s">
        <v>76</v>
      </c>
      <c r="H33" s="117" t="s">
        <v>209</v>
      </c>
      <c r="I33" s="108" t="str">
        <f t="shared" si="2"/>
        <v>Oportunidad de mejora</v>
      </c>
      <c r="J33" s="105">
        <f t="shared" si="5"/>
        <v>30</v>
      </c>
      <c r="K33" s="110">
        <v>0.23456779999999999</v>
      </c>
      <c r="L33" s="105">
        <f t="shared" si="6"/>
        <v>30.234567800000001</v>
      </c>
      <c r="M33" s="48"/>
      <c r="N33" s="48"/>
      <c r="O33" s="48"/>
      <c r="P33" s="48"/>
      <c r="Q33" s="48"/>
      <c r="R33" s="48"/>
      <c r="S33" s="48"/>
      <c r="T33" s="48"/>
      <c r="U33" s="48"/>
      <c r="V33" s="48"/>
      <c r="W33" s="48"/>
      <c r="X33" s="48"/>
      <c r="Y33" s="48"/>
      <c r="Z33" s="48"/>
      <c r="AA33" s="48"/>
      <c r="AB33" s="48"/>
      <c r="AC33" s="48"/>
      <c r="AD33" s="48"/>
      <c r="AE33" s="48"/>
      <c r="AF33" s="48"/>
    </row>
    <row r="34" spans="1:32" s="49" customFormat="1" ht="66" customHeight="1" thickBot="1" x14ac:dyDescent="0.3">
      <c r="A34" s="103" t="str">
        <f t="shared" si="7"/>
        <v>3c</v>
      </c>
      <c r="B34" s="254"/>
      <c r="C34" s="254"/>
      <c r="D34" s="255"/>
      <c r="E34" s="88" t="s">
        <v>40</v>
      </c>
      <c r="F34" s="85" t="s">
        <v>71</v>
      </c>
      <c r="G34" s="116" t="s">
        <v>76</v>
      </c>
      <c r="H34" s="117" t="s">
        <v>210</v>
      </c>
      <c r="I34" s="108" t="str">
        <f t="shared" si="2"/>
        <v>Oportunidad de mejora</v>
      </c>
      <c r="J34" s="105">
        <f t="shared" si="5"/>
        <v>30</v>
      </c>
      <c r="K34" s="110">
        <v>0.23456789</v>
      </c>
      <c r="L34" s="105">
        <f t="shared" si="6"/>
        <v>30.234567890000001</v>
      </c>
      <c r="M34" s="48"/>
      <c r="N34" s="48"/>
      <c r="O34" s="48"/>
      <c r="P34" s="48"/>
      <c r="Q34" s="48"/>
      <c r="R34" s="48"/>
      <c r="S34" s="48"/>
      <c r="T34" s="48"/>
      <c r="U34" s="48"/>
      <c r="V34" s="48"/>
      <c r="W34" s="48"/>
      <c r="X34" s="48"/>
      <c r="Y34" s="48"/>
      <c r="Z34" s="48"/>
      <c r="AA34" s="48"/>
      <c r="AB34" s="48"/>
      <c r="AC34" s="48"/>
      <c r="AD34" s="48"/>
      <c r="AE34" s="48"/>
      <c r="AF34" s="48"/>
    </row>
    <row r="35" spans="1:32" s="49" customFormat="1" ht="66" x14ac:dyDescent="0.25">
      <c r="A35" s="103" t="str">
        <f>4&amp;E35</f>
        <v>4a</v>
      </c>
      <c r="B35" s="256" t="s">
        <v>72</v>
      </c>
      <c r="C35" s="243" t="s">
        <v>61</v>
      </c>
      <c r="D35" s="236" t="s">
        <v>73</v>
      </c>
      <c r="E35" s="81" t="s">
        <v>34</v>
      </c>
      <c r="F35" s="82" t="s">
        <v>74</v>
      </c>
      <c r="G35" s="112" t="s">
        <v>39</v>
      </c>
      <c r="H35" s="113" t="s">
        <v>211</v>
      </c>
      <c r="I35" s="104" t="str">
        <f t="shared" si="2"/>
        <v>Mantenimiento del control</v>
      </c>
      <c r="J35" s="105">
        <f t="shared" si="5"/>
        <v>40</v>
      </c>
      <c r="K35" s="110">
        <v>0.23456789119999999</v>
      </c>
      <c r="L35" s="105">
        <f t="shared" si="6"/>
        <v>40.234567891200001</v>
      </c>
      <c r="M35" s="48"/>
      <c r="N35" s="48"/>
      <c r="O35" s="48"/>
      <c r="P35" s="48"/>
      <c r="Q35" s="48"/>
    </row>
    <row r="36" spans="1:32" s="49" customFormat="1" ht="57.75" customHeight="1" x14ac:dyDescent="0.25">
      <c r="A36" s="103" t="str">
        <f t="shared" ref="A36:A37" si="8">4&amp;E36</f>
        <v>4b</v>
      </c>
      <c r="B36" s="256"/>
      <c r="C36" s="243"/>
      <c r="D36" s="236"/>
      <c r="E36" s="83" t="s">
        <v>37</v>
      </c>
      <c r="F36" s="85" t="s">
        <v>75</v>
      </c>
      <c r="G36" s="116" t="s">
        <v>39</v>
      </c>
      <c r="H36" s="117" t="s">
        <v>212</v>
      </c>
      <c r="I36" s="108" t="str">
        <f t="shared" si="2"/>
        <v>Mantenimiento del control</v>
      </c>
      <c r="J36" s="105">
        <f t="shared" si="5"/>
        <v>40</v>
      </c>
      <c r="K36" s="110">
        <v>0.23456789122999999</v>
      </c>
      <c r="L36" s="105">
        <f t="shared" si="6"/>
        <v>40.23456789123</v>
      </c>
      <c r="M36" s="48"/>
      <c r="N36" s="48"/>
      <c r="O36" s="48"/>
      <c r="P36" s="48"/>
      <c r="Q36" s="48"/>
    </row>
    <row r="37" spans="1:32" s="49" customFormat="1" ht="66.75" thickBot="1" x14ac:dyDescent="0.3">
      <c r="A37" s="103" t="str">
        <f t="shared" si="8"/>
        <v>4c</v>
      </c>
      <c r="B37" s="256"/>
      <c r="C37" s="243"/>
      <c r="D37" s="236"/>
      <c r="E37" s="83" t="s">
        <v>40</v>
      </c>
      <c r="F37" s="85" t="s">
        <v>77</v>
      </c>
      <c r="G37" s="116" t="s">
        <v>36</v>
      </c>
      <c r="H37" s="117" t="s">
        <v>213</v>
      </c>
      <c r="I37" s="108" t="str">
        <f t="shared" si="2"/>
        <v>Deficiencia de control</v>
      </c>
      <c r="J37" s="105">
        <f t="shared" si="5"/>
        <v>20</v>
      </c>
      <c r="K37" s="110">
        <v>0.23456789123399999</v>
      </c>
      <c r="L37" s="105">
        <f t="shared" si="6"/>
        <v>20.234567891234001</v>
      </c>
      <c r="M37" s="48"/>
      <c r="N37" s="48"/>
      <c r="O37" s="48"/>
      <c r="P37" s="48"/>
      <c r="Q37" s="48"/>
    </row>
    <row r="38" spans="1:32" s="49" customFormat="1" ht="85.5" customHeight="1" x14ac:dyDescent="0.25">
      <c r="A38" s="103" t="str">
        <f>5&amp;E38</f>
        <v>5a</v>
      </c>
      <c r="B38" s="257" t="s">
        <v>78</v>
      </c>
      <c r="C38" s="245" t="s">
        <v>79</v>
      </c>
      <c r="D38" s="260" t="s">
        <v>80</v>
      </c>
      <c r="E38" s="81" t="s">
        <v>34</v>
      </c>
      <c r="F38" s="89" t="s">
        <v>81</v>
      </c>
      <c r="G38" s="120" t="s">
        <v>39</v>
      </c>
      <c r="H38" s="121" t="s">
        <v>214</v>
      </c>
      <c r="I38" s="111" t="str">
        <f t="shared" si="2"/>
        <v>Mantenimiento del control</v>
      </c>
      <c r="J38" s="105">
        <f>+IF(G38="Si",60,IF(G38="En proceso",50,40))</f>
        <v>60</v>
      </c>
      <c r="K38" s="105">
        <v>0.31</v>
      </c>
      <c r="L38" s="105">
        <f t="shared" si="3"/>
        <v>60.31</v>
      </c>
    </row>
    <row r="39" spans="1:32" s="49" customFormat="1" ht="66" x14ac:dyDescent="0.25">
      <c r="A39" s="103" t="str">
        <f t="shared" ref="A39:A42" si="9">5&amp;E39</f>
        <v>5b</v>
      </c>
      <c r="B39" s="258"/>
      <c r="C39" s="246"/>
      <c r="D39" s="261"/>
      <c r="E39" s="83" t="s">
        <v>37</v>
      </c>
      <c r="F39" s="85" t="s">
        <v>82</v>
      </c>
      <c r="G39" s="116" t="s">
        <v>76</v>
      </c>
      <c r="H39" s="117" t="s">
        <v>215</v>
      </c>
      <c r="I39" s="108" t="str">
        <f t="shared" si="2"/>
        <v>Oportunidad de mejora</v>
      </c>
      <c r="J39" s="105">
        <f>+IF(G39="Si",60,IF(G39="En proceso",50,40))</f>
        <v>50</v>
      </c>
      <c r="K39" s="105">
        <v>0.32300000000000001</v>
      </c>
      <c r="L39" s="105">
        <f t="shared" si="3"/>
        <v>50.323</v>
      </c>
    </row>
    <row r="40" spans="1:32" s="49" customFormat="1" ht="49.5" x14ac:dyDescent="0.25">
      <c r="A40" s="103" t="str">
        <f t="shared" si="9"/>
        <v>5c</v>
      </c>
      <c r="B40" s="258"/>
      <c r="C40" s="246"/>
      <c r="D40" s="261"/>
      <c r="E40" s="83" t="s">
        <v>40</v>
      </c>
      <c r="F40" s="85" t="s">
        <v>83</v>
      </c>
      <c r="G40" s="116" t="s">
        <v>39</v>
      </c>
      <c r="H40" s="117" t="s">
        <v>216</v>
      </c>
      <c r="I40" s="108" t="str">
        <f t="shared" si="2"/>
        <v>Mantenimiento del control</v>
      </c>
      <c r="J40" s="105">
        <f>+IF(G40="Si",60,IF(G40="En proceso",50,40))</f>
        <v>60</v>
      </c>
      <c r="K40" s="105">
        <v>0.32400000000000001</v>
      </c>
      <c r="L40" s="105">
        <f t="shared" si="3"/>
        <v>60.323999999999998</v>
      </c>
    </row>
    <row r="41" spans="1:32" s="49" customFormat="1" ht="94.5" x14ac:dyDescent="0.25">
      <c r="A41" s="103" t="str">
        <f t="shared" si="9"/>
        <v>5d</v>
      </c>
      <c r="B41" s="258"/>
      <c r="C41" s="246"/>
      <c r="D41" s="261"/>
      <c r="E41" s="83" t="s">
        <v>42</v>
      </c>
      <c r="F41" s="85" t="s">
        <v>84</v>
      </c>
      <c r="G41" s="116" t="s">
        <v>39</v>
      </c>
      <c r="H41" s="117" t="s">
        <v>217</v>
      </c>
      <c r="I41" s="108" t="str">
        <f t="shared" si="2"/>
        <v>Mantenimiento del control</v>
      </c>
      <c r="J41" s="105">
        <f>+IF(G41="Si",60,IF(G41="En proceso",50,40))</f>
        <v>60</v>
      </c>
      <c r="K41" s="105">
        <v>0.32500000000000001</v>
      </c>
      <c r="L41" s="105">
        <f t="shared" si="3"/>
        <v>60.325000000000003</v>
      </c>
    </row>
    <row r="42" spans="1:32" s="49" customFormat="1" ht="66.75" thickBot="1" x14ac:dyDescent="0.3">
      <c r="A42" s="103" t="str">
        <f t="shared" si="9"/>
        <v>5e</v>
      </c>
      <c r="B42" s="259"/>
      <c r="C42" s="247"/>
      <c r="D42" s="262"/>
      <c r="E42" s="86" t="s">
        <v>44</v>
      </c>
      <c r="F42" s="87" t="s">
        <v>85</v>
      </c>
      <c r="G42" s="118" t="s">
        <v>39</v>
      </c>
      <c r="H42" s="119" t="s">
        <v>192</v>
      </c>
      <c r="I42" s="109" t="str">
        <f t="shared" si="2"/>
        <v>Mantenimiento del control</v>
      </c>
      <c r="J42" s="105">
        <f>+IF(G42="Si",60,IF(G42="En proceso",50,40))</f>
        <v>60</v>
      </c>
      <c r="K42" s="105">
        <v>0.32600000000000001</v>
      </c>
      <c r="L42" s="105">
        <f t="shared" si="3"/>
        <v>60.326000000000001</v>
      </c>
    </row>
    <row r="43" spans="1:32" s="49" customFormat="1" ht="40.5" customHeight="1" x14ac:dyDescent="0.25">
      <c r="A43" s="103" t="str">
        <f>6&amp;E43</f>
        <v>6a</v>
      </c>
      <c r="B43" s="217" t="s">
        <v>86</v>
      </c>
      <c r="C43" s="248" t="s">
        <v>87</v>
      </c>
      <c r="D43" s="214" t="s">
        <v>88</v>
      </c>
      <c r="E43" s="81" t="s">
        <v>34</v>
      </c>
      <c r="F43" s="82" t="s">
        <v>89</v>
      </c>
      <c r="G43" s="112" t="s">
        <v>39</v>
      </c>
      <c r="H43" s="113" t="s">
        <v>218</v>
      </c>
      <c r="I43" s="104" t="str">
        <f t="shared" si="2"/>
        <v>Mantenimiento del control</v>
      </c>
      <c r="J43" s="105">
        <f t="shared" ref="J43:J49" si="10">+IF(G43="Si",80,IF(G43="En proceso",70,60))</f>
        <v>80</v>
      </c>
      <c r="K43" s="105">
        <v>0.41199999999999998</v>
      </c>
      <c r="L43" s="105">
        <f t="shared" si="3"/>
        <v>80.412000000000006</v>
      </c>
    </row>
    <row r="44" spans="1:32" s="49" customFormat="1" ht="82.5" x14ac:dyDescent="0.25">
      <c r="A44" s="103" t="str">
        <f t="shared" ref="A44:A49" si="11">6&amp;E44</f>
        <v>6b</v>
      </c>
      <c r="B44" s="218"/>
      <c r="C44" s="249"/>
      <c r="D44" s="215"/>
      <c r="E44" s="83" t="s">
        <v>37</v>
      </c>
      <c r="F44" s="85" t="s">
        <v>90</v>
      </c>
      <c r="G44" s="116" t="s">
        <v>39</v>
      </c>
      <c r="H44" s="117" t="s">
        <v>219</v>
      </c>
      <c r="I44" s="108" t="str">
        <f t="shared" si="2"/>
        <v>Mantenimiento del control</v>
      </c>
      <c r="J44" s="105">
        <f t="shared" si="10"/>
        <v>80</v>
      </c>
      <c r="K44" s="105">
        <v>0.4123</v>
      </c>
      <c r="L44" s="105">
        <f t="shared" si="3"/>
        <v>80.412300000000002</v>
      </c>
    </row>
    <row r="45" spans="1:32" s="49" customFormat="1" ht="49.5" x14ac:dyDescent="0.25">
      <c r="A45" s="103" t="str">
        <f t="shared" si="11"/>
        <v>6c</v>
      </c>
      <c r="B45" s="218"/>
      <c r="C45" s="249"/>
      <c r="D45" s="215"/>
      <c r="E45" s="83" t="s">
        <v>40</v>
      </c>
      <c r="F45" s="85" t="s">
        <v>91</v>
      </c>
      <c r="G45" s="116" t="s">
        <v>39</v>
      </c>
      <c r="H45" s="117" t="s">
        <v>220</v>
      </c>
      <c r="I45" s="108" t="str">
        <f t="shared" si="2"/>
        <v>Mantenimiento del control</v>
      </c>
      <c r="J45" s="105">
        <f t="shared" si="10"/>
        <v>80</v>
      </c>
      <c r="K45" s="105">
        <v>0.41233999999999998</v>
      </c>
      <c r="L45" s="105">
        <f t="shared" si="3"/>
        <v>80.41234</v>
      </c>
    </row>
    <row r="46" spans="1:32" s="49" customFormat="1" ht="33" x14ac:dyDescent="0.25">
      <c r="A46" s="103" t="str">
        <f t="shared" si="11"/>
        <v>6d</v>
      </c>
      <c r="B46" s="218"/>
      <c r="C46" s="249"/>
      <c r="D46" s="215"/>
      <c r="E46" s="83" t="s">
        <v>42</v>
      </c>
      <c r="F46" s="85" t="s">
        <v>92</v>
      </c>
      <c r="G46" s="116" t="s">
        <v>39</v>
      </c>
      <c r="H46" s="117" t="s">
        <v>221</v>
      </c>
      <c r="I46" s="108" t="str">
        <f t="shared" si="2"/>
        <v>Mantenimiento del control</v>
      </c>
      <c r="J46" s="105">
        <f t="shared" si="10"/>
        <v>80</v>
      </c>
      <c r="K46" s="105">
        <v>0.41234500000000002</v>
      </c>
      <c r="L46" s="105">
        <f t="shared" si="3"/>
        <v>80.412345000000002</v>
      </c>
    </row>
    <row r="47" spans="1:32" s="49" customFormat="1" ht="63" x14ac:dyDescent="0.25">
      <c r="A47" s="103" t="str">
        <f t="shared" si="11"/>
        <v>6e</v>
      </c>
      <c r="B47" s="218"/>
      <c r="C47" s="249"/>
      <c r="D47" s="215"/>
      <c r="E47" s="83" t="s">
        <v>44</v>
      </c>
      <c r="F47" s="85" t="s">
        <v>93</v>
      </c>
      <c r="G47" s="116" t="s">
        <v>76</v>
      </c>
      <c r="H47" s="117" t="s">
        <v>222</v>
      </c>
      <c r="I47" s="108" t="str">
        <f t="shared" si="2"/>
        <v>Oportunidad de mejora</v>
      </c>
      <c r="J47" s="105">
        <f t="shared" si="10"/>
        <v>70</v>
      </c>
      <c r="K47" s="105">
        <v>0.41234559999999998</v>
      </c>
      <c r="L47" s="105">
        <f t="shared" si="3"/>
        <v>70.412345599999995</v>
      </c>
    </row>
    <row r="48" spans="1:32" s="49" customFormat="1" ht="63" x14ac:dyDescent="0.25">
      <c r="A48" s="103" t="str">
        <f t="shared" si="11"/>
        <v>6f</v>
      </c>
      <c r="B48" s="218"/>
      <c r="C48" s="249"/>
      <c r="D48" s="215"/>
      <c r="E48" s="83" t="s">
        <v>46</v>
      </c>
      <c r="F48" s="85" t="s">
        <v>94</v>
      </c>
      <c r="G48" s="116" t="s">
        <v>76</v>
      </c>
      <c r="H48" s="117" t="s">
        <v>223</v>
      </c>
      <c r="I48" s="108" t="str">
        <f t="shared" si="2"/>
        <v>Oportunidad de mejora</v>
      </c>
      <c r="J48" s="105">
        <f t="shared" si="10"/>
        <v>70</v>
      </c>
      <c r="K48" s="105">
        <v>0.41234567</v>
      </c>
      <c r="L48" s="105">
        <f t="shared" si="3"/>
        <v>70.412345669999993</v>
      </c>
    </row>
    <row r="49" spans="1:17" s="49" customFormat="1" ht="48" thickBot="1" x14ac:dyDescent="0.3">
      <c r="A49" s="103" t="str">
        <f t="shared" si="11"/>
        <v>6g</v>
      </c>
      <c r="B49" s="219"/>
      <c r="C49" s="250"/>
      <c r="D49" s="216"/>
      <c r="E49" s="86" t="s">
        <v>48</v>
      </c>
      <c r="F49" s="87" t="s">
        <v>95</v>
      </c>
      <c r="G49" s="118" t="s">
        <v>76</v>
      </c>
      <c r="H49" s="119" t="s">
        <v>224</v>
      </c>
      <c r="I49" s="109" t="str">
        <f t="shared" si="2"/>
        <v>Oportunidad de mejora</v>
      </c>
      <c r="J49" s="105">
        <f t="shared" si="10"/>
        <v>70</v>
      </c>
      <c r="K49" s="105">
        <v>0.41234567799999999</v>
      </c>
      <c r="L49" s="105">
        <f t="shared" si="3"/>
        <v>70.412345677999994</v>
      </c>
    </row>
    <row r="50" spans="1:17" s="49" customFormat="1" ht="54.75" customHeight="1" x14ac:dyDescent="0.25">
      <c r="A50" s="103" t="str">
        <f>7&amp;E50</f>
        <v>7a</v>
      </c>
      <c r="B50" s="223" t="s">
        <v>96</v>
      </c>
      <c r="C50" s="251" t="s">
        <v>97</v>
      </c>
      <c r="D50" s="220" t="s">
        <v>98</v>
      </c>
      <c r="E50" s="81" t="s">
        <v>34</v>
      </c>
      <c r="F50" s="82" t="s">
        <v>99</v>
      </c>
      <c r="G50" s="112" t="s">
        <v>76</v>
      </c>
      <c r="H50" s="113" t="s">
        <v>225</v>
      </c>
      <c r="I50" s="104" t="str">
        <f t="shared" si="2"/>
        <v>Oportunidad de mejora</v>
      </c>
      <c r="J50" s="105">
        <f>+IF(G50="Si",120,IF(G50="En proceso",100,80))</f>
        <v>100</v>
      </c>
      <c r="K50" s="105">
        <v>0.85099999999999998</v>
      </c>
      <c r="L50" s="105">
        <f t="shared" si="3"/>
        <v>100.851</v>
      </c>
    </row>
    <row r="51" spans="1:17" s="49" customFormat="1" ht="94.5" x14ac:dyDescent="0.25">
      <c r="A51" s="103" t="str">
        <f t="shared" ref="A51:A53" si="12">7&amp;E51</f>
        <v>7d</v>
      </c>
      <c r="B51" s="224"/>
      <c r="C51" s="252"/>
      <c r="D51" s="221"/>
      <c r="E51" s="83" t="s">
        <v>42</v>
      </c>
      <c r="F51" s="85" t="s">
        <v>100</v>
      </c>
      <c r="G51" s="116" t="s">
        <v>76</v>
      </c>
      <c r="H51" s="117" t="s">
        <v>227</v>
      </c>
      <c r="I51" s="108" t="str">
        <f t="shared" si="2"/>
        <v>Oportunidad de mejora</v>
      </c>
      <c r="J51" s="105">
        <f t="shared" ref="J51:J59" si="13">+IF(G51="Si",120,IF(G51="En proceso",100,80))</f>
        <v>100</v>
      </c>
      <c r="K51" s="105">
        <v>0.85119999999999996</v>
      </c>
      <c r="L51" s="105">
        <f t="shared" si="3"/>
        <v>100.85120000000001</v>
      </c>
    </row>
    <row r="52" spans="1:17" s="49" customFormat="1" ht="47.25" x14ac:dyDescent="0.25">
      <c r="A52" s="103" t="str">
        <f t="shared" si="12"/>
        <v>7f</v>
      </c>
      <c r="B52" s="224"/>
      <c r="C52" s="252"/>
      <c r="D52" s="221"/>
      <c r="E52" s="83" t="s">
        <v>46</v>
      </c>
      <c r="F52" s="85" t="s">
        <v>101</v>
      </c>
      <c r="G52" s="116" t="s">
        <v>76</v>
      </c>
      <c r="H52" s="117" t="s">
        <v>228</v>
      </c>
      <c r="I52" s="108" t="str">
        <f t="shared" si="2"/>
        <v>Oportunidad de mejora</v>
      </c>
      <c r="J52" s="105">
        <f t="shared" si="13"/>
        <v>100</v>
      </c>
      <c r="K52" s="105">
        <v>0.85123000000000004</v>
      </c>
      <c r="L52" s="105">
        <f t="shared" si="3"/>
        <v>100.85123</v>
      </c>
    </row>
    <row r="53" spans="1:17" s="49" customFormat="1" ht="50.25" thickBot="1" x14ac:dyDescent="0.3">
      <c r="A53" s="103" t="str">
        <f t="shared" si="12"/>
        <v>7g</v>
      </c>
      <c r="B53" s="225"/>
      <c r="C53" s="253"/>
      <c r="D53" s="222"/>
      <c r="E53" s="86" t="s">
        <v>48</v>
      </c>
      <c r="F53" s="87" t="s">
        <v>102</v>
      </c>
      <c r="G53" s="118" t="s">
        <v>39</v>
      </c>
      <c r="H53" s="119" t="s">
        <v>229</v>
      </c>
      <c r="I53" s="109" t="str">
        <f t="shared" si="2"/>
        <v>Mantenimiento del control</v>
      </c>
      <c r="J53" s="105">
        <f t="shared" si="13"/>
        <v>120</v>
      </c>
      <c r="K53" s="105">
        <v>0.85123400000000005</v>
      </c>
      <c r="L53" s="105">
        <f t="shared" si="3"/>
        <v>120.85123400000001</v>
      </c>
    </row>
    <row r="54" spans="1:17" s="49" customFormat="1" ht="102.75" customHeight="1" thickBot="1" x14ac:dyDescent="0.3">
      <c r="A54" s="103" t="str">
        <f>8&amp;E54</f>
        <v>8h</v>
      </c>
      <c r="B54" s="162" t="s">
        <v>103</v>
      </c>
      <c r="C54" s="163" t="s">
        <v>97</v>
      </c>
      <c r="D54" s="76" t="s">
        <v>104</v>
      </c>
      <c r="E54" s="81" t="s">
        <v>50</v>
      </c>
      <c r="F54" s="82" t="s">
        <v>105</v>
      </c>
      <c r="G54" s="112" t="s">
        <v>36</v>
      </c>
      <c r="H54" s="113" t="s">
        <v>226</v>
      </c>
      <c r="I54" s="104" t="str">
        <f t="shared" si="2"/>
        <v>Deficiencia de control</v>
      </c>
      <c r="J54" s="105">
        <f t="shared" si="13"/>
        <v>80</v>
      </c>
      <c r="K54" s="105">
        <v>0.85123450000000001</v>
      </c>
      <c r="L54" s="105">
        <f t="shared" si="3"/>
        <v>80.851234500000004</v>
      </c>
    </row>
    <row r="55" spans="1:17" s="49" customFormat="1" ht="54.75" customHeight="1" x14ac:dyDescent="0.25">
      <c r="A55" s="103" t="str">
        <f>9&amp;E55</f>
        <v>9a</v>
      </c>
      <c r="B55" s="223" t="s">
        <v>106</v>
      </c>
      <c r="C55" s="251" t="s">
        <v>97</v>
      </c>
      <c r="D55" s="220" t="s">
        <v>107</v>
      </c>
      <c r="E55" s="81" t="s">
        <v>34</v>
      </c>
      <c r="F55" s="82" t="s">
        <v>108</v>
      </c>
      <c r="G55" s="112" t="s">
        <v>76</v>
      </c>
      <c r="H55" s="113" t="s">
        <v>230</v>
      </c>
      <c r="I55" s="104" t="str">
        <f t="shared" si="2"/>
        <v>Oportunidad de mejora</v>
      </c>
      <c r="J55" s="105">
        <f t="shared" si="13"/>
        <v>100</v>
      </c>
      <c r="K55" s="110">
        <v>0.85123455999999997</v>
      </c>
      <c r="L55" s="105">
        <f t="shared" si="3"/>
        <v>100.85123455999999</v>
      </c>
      <c r="M55" s="48"/>
      <c r="N55" s="48"/>
      <c r="O55" s="48"/>
      <c r="P55" s="48"/>
      <c r="Q55" s="48"/>
    </row>
    <row r="56" spans="1:17" s="49" customFormat="1" ht="55.5" customHeight="1" x14ac:dyDescent="0.25">
      <c r="A56" s="103" t="str">
        <f t="shared" ref="A56:A59" si="14">9&amp;E56</f>
        <v>9b</v>
      </c>
      <c r="B56" s="224"/>
      <c r="C56" s="252"/>
      <c r="D56" s="221"/>
      <c r="E56" s="83" t="s">
        <v>37</v>
      </c>
      <c r="F56" s="85" t="s">
        <v>109</v>
      </c>
      <c r="G56" s="116" t="s">
        <v>39</v>
      </c>
      <c r="H56" s="117" t="s">
        <v>231</v>
      </c>
      <c r="I56" s="108" t="str">
        <f t="shared" si="2"/>
        <v>Mantenimiento del control</v>
      </c>
      <c r="J56" s="105">
        <f t="shared" si="13"/>
        <v>120</v>
      </c>
      <c r="K56" s="110">
        <v>0.851234567</v>
      </c>
      <c r="L56" s="105">
        <f t="shared" si="3"/>
        <v>120.85123456700001</v>
      </c>
      <c r="M56" s="48"/>
      <c r="N56" s="48"/>
      <c r="O56" s="48"/>
      <c r="P56" s="48"/>
      <c r="Q56" s="48"/>
    </row>
    <row r="57" spans="1:17" s="49" customFormat="1" ht="77.25" customHeight="1" x14ac:dyDescent="0.25">
      <c r="A57" s="103" t="str">
        <f t="shared" si="14"/>
        <v>9c</v>
      </c>
      <c r="B57" s="224"/>
      <c r="C57" s="252"/>
      <c r="D57" s="221"/>
      <c r="E57" s="83" t="s">
        <v>40</v>
      </c>
      <c r="F57" s="85" t="s">
        <v>110</v>
      </c>
      <c r="G57" s="116" t="s">
        <v>76</v>
      </c>
      <c r="H57" s="117" t="s">
        <v>232</v>
      </c>
      <c r="I57" s="108" t="str">
        <f t="shared" si="2"/>
        <v>Oportunidad de mejora</v>
      </c>
      <c r="J57" s="105">
        <f t="shared" si="13"/>
        <v>100</v>
      </c>
      <c r="K57" s="110">
        <v>0.85123456779999995</v>
      </c>
      <c r="L57" s="105">
        <f t="shared" si="3"/>
        <v>100.85123456780001</v>
      </c>
      <c r="M57" s="48"/>
      <c r="N57" s="48"/>
      <c r="O57" s="48"/>
      <c r="P57" s="48"/>
      <c r="Q57" s="48"/>
    </row>
    <row r="58" spans="1:17" s="49" customFormat="1" ht="77.25" customHeight="1" x14ac:dyDescent="0.25">
      <c r="A58" s="103" t="str">
        <f t="shared" si="14"/>
        <v>9d</v>
      </c>
      <c r="B58" s="224"/>
      <c r="C58" s="252"/>
      <c r="D58" s="221"/>
      <c r="E58" s="83" t="s">
        <v>42</v>
      </c>
      <c r="F58" s="85" t="s">
        <v>111</v>
      </c>
      <c r="G58" s="116" t="s">
        <v>76</v>
      </c>
      <c r="H58" s="117" t="s">
        <v>234</v>
      </c>
      <c r="I58" s="108" t="str">
        <f t="shared" si="2"/>
        <v>Oportunidad de mejora</v>
      </c>
      <c r="J58" s="105">
        <f t="shared" si="13"/>
        <v>100</v>
      </c>
      <c r="K58" s="110">
        <v>0.85123456788999996</v>
      </c>
      <c r="L58" s="105">
        <f t="shared" si="3"/>
        <v>100.85123456789</v>
      </c>
      <c r="M58" s="48"/>
      <c r="N58" s="48"/>
      <c r="O58" s="48"/>
      <c r="P58" s="48"/>
      <c r="Q58" s="48"/>
    </row>
    <row r="59" spans="1:17" s="49" customFormat="1" ht="77.25" customHeight="1" thickBot="1" x14ac:dyDescent="0.3">
      <c r="A59" s="103" t="str">
        <f t="shared" si="14"/>
        <v>9e</v>
      </c>
      <c r="B59" s="225"/>
      <c r="C59" s="252"/>
      <c r="D59" s="238"/>
      <c r="E59" s="86" t="s">
        <v>44</v>
      </c>
      <c r="F59" s="87" t="s">
        <v>112</v>
      </c>
      <c r="G59" s="118" t="s">
        <v>39</v>
      </c>
      <c r="H59" s="119" t="s">
        <v>233</v>
      </c>
      <c r="I59" s="109" t="str">
        <f t="shared" si="2"/>
        <v>Mantenimiento del control</v>
      </c>
      <c r="J59" s="105">
        <f t="shared" si="13"/>
        <v>120</v>
      </c>
      <c r="K59" s="110">
        <v>0.85123456789100005</v>
      </c>
      <c r="L59" s="105">
        <f t="shared" si="3"/>
        <v>120.851234567891</v>
      </c>
      <c r="M59" s="48"/>
      <c r="N59" s="48"/>
      <c r="O59" s="48"/>
      <c r="P59" s="48"/>
      <c r="Q59" s="48"/>
    </row>
  </sheetData>
  <sheetProtection algorithmName="SHA-512" hashValue="3f8q67IhQ+195mCCu45JxrnKZ5NQYpYn/4DMJ1qNlLoW+1h5DdlwjNz0RDsqicEeH5OxPhf5j92R5BAeBl6Iaw==" saltValue="5vY6GrPfNxnRatmVvJafnA==" spinCount="100000" sheet="1" objects="1" scenarios="1" formatCells="0" formatColumns="0" formatRows="0"/>
  <mergeCells count="25">
    <mergeCell ref="D55:D59"/>
    <mergeCell ref="B55:B59"/>
    <mergeCell ref="C16:C27"/>
    <mergeCell ref="C28:C31"/>
    <mergeCell ref="C38:C42"/>
    <mergeCell ref="C43:C49"/>
    <mergeCell ref="C50:C53"/>
    <mergeCell ref="C32:C34"/>
    <mergeCell ref="C35:C37"/>
    <mergeCell ref="C55:C59"/>
    <mergeCell ref="D32:D34"/>
    <mergeCell ref="B32:B34"/>
    <mergeCell ref="B35:B37"/>
    <mergeCell ref="D35:D37"/>
    <mergeCell ref="B38:B42"/>
    <mergeCell ref="D38:D42"/>
    <mergeCell ref="B14:I14"/>
    <mergeCell ref="D43:D49"/>
    <mergeCell ref="B43:B49"/>
    <mergeCell ref="D50:D53"/>
    <mergeCell ref="B50:B53"/>
    <mergeCell ref="D16:D27"/>
    <mergeCell ref="B16:B27"/>
    <mergeCell ref="B28:B31"/>
    <mergeCell ref="D28:D31"/>
  </mergeCells>
  <dataValidations count="2">
    <dataValidation type="list" allowBlank="1" showInputMessage="1" showErrorMessage="1" sqref="G55:G59 G16:G53">
      <formula1>"Si, No, En proceso"</formula1>
    </dataValidation>
    <dataValidation type="list" allowBlank="1" showInputMessage="1" showErrorMessage="1" sqref="G54">
      <formula1>"Si, No"</formula1>
    </dataValidation>
  </dataValidations>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4"/>
  <sheetViews>
    <sheetView topLeftCell="A5" zoomScaleNormal="100" workbookViewId="0">
      <selection activeCell="E12" sqref="E12:F12"/>
    </sheetView>
  </sheetViews>
  <sheetFormatPr baseColWidth="10" defaultColWidth="11.42578125" defaultRowHeight="15" x14ac:dyDescent="0.25"/>
  <cols>
    <col min="3" max="3" width="22.85546875" customWidth="1"/>
    <col min="4" max="4" width="22.5703125" customWidth="1"/>
    <col min="5" max="5" width="53.42578125" customWidth="1"/>
    <col min="7" max="7" width="28.28515625" customWidth="1"/>
    <col min="8" max="8" width="4.85546875" customWidth="1"/>
    <col min="9" max="9" width="15.28515625" customWidth="1"/>
    <col min="10" max="10" width="22.42578125" customWidth="1"/>
    <col min="11" max="29" width="11.42578125" style="1"/>
  </cols>
  <sheetData>
    <row r="1" spans="1:11" x14ac:dyDescent="0.25">
      <c r="A1" s="1"/>
      <c r="B1" s="1"/>
      <c r="C1" s="1"/>
      <c r="D1" s="1"/>
      <c r="E1" s="1"/>
      <c r="F1" s="1"/>
      <c r="G1" s="1"/>
      <c r="H1" s="1"/>
      <c r="I1" s="1"/>
      <c r="J1" s="1"/>
    </row>
    <row r="2" spans="1:11" s="1" customFormat="1" x14ac:dyDescent="0.25"/>
    <row r="3" spans="1:11" s="1" customFormat="1" x14ac:dyDescent="0.25"/>
    <row r="4" spans="1:11" x14ac:dyDescent="0.25">
      <c r="A4" s="1"/>
      <c r="B4" s="1"/>
      <c r="C4" s="1"/>
      <c r="D4" s="1"/>
      <c r="E4" s="1"/>
      <c r="F4" s="1"/>
      <c r="G4" s="1"/>
      <c r="H4" s="1"/>
      <c r="I4" s="1"/>
      <c r="J4" s="1"/>
    </row>
    <row r="5" spans="1:11" x14ac:dyDescent="0.25">
      <c r="A5" s="1"/>
      <c r="B5" s="1"/>
      <c r="C5" s="1"/>
      <c r="D5" s="1"/>
      <c r="E5" s="1"/>
      <c r="F5" s="1"/>
      <c r="G5" s="1"/>
      <c r="H5" s="1"/>
      <c r="I5" s="1"/>
      <c r="J5" s="1"/>
    </row>
    <row r="6" spans="1:11" ht="15.75" thickBot="1" x14ac:dyDescent="0.3">
      <c r="A6" s="1"/>
      <c r="B6" s="1"/>
      <c r="C6" s="1"/>
      <c r="D6" s="1"/>
      <c r="E6" s="1"/>
      <c r="F6" s="1"/>
      <c r="G6" s="1"/>
      <c r="H6" s="1"/>
      <c r="I6" s="1"/>
      <c r="J6" s="1"/>
    </row>
    <row r="7" spans="1:11" ht="26.25" thickBot="1" x14ac:dyDescent="0.3">
      <c r="A7" s="1"/>
      <c r="B7" s="1"/>
      <c r="C7" s="263" t="s">
        <v>113</v>
      </c>
      <c r="D7" s="264"/>
      <c r="E7" s="264"/>
      <c r="F7" s="264"/>
      <c r="G7" s="264"/>
      <c r="H7" s="264"/>
      <c r="I7" s="264"/>
      <c r="J7" s="264"/>
      <c r="K7" s="265"/>
    </row>
    <row r="8" spans="1:11" s="1" customFormat="1" ht="15.75" thickBot="1" x14ac:dyDescent="0.3">
      <c r="C8" s="39"/>
      <c r="D8" s="39"/>
      <c r="E8" s="40"/>
      <c r="F8" s="40"/>
      <c r="G8" s="40"/>
      <c r="H8" s="40"/>
      <c r="I8" s="50"/>
      <c r="J8" s="40"/>
      <c r="K8" s="40"/>
    </row>
    <row r="9" spans="1:11" ht="21" thickBot="1" x14ac:dyDescent="0.3">
      <c r="A9" s="1"/>
      <c r="B9" s="1"/>
      <c r="C9" s="172" t="s">
        <v>15</v>
      </c>
      <c r="D9" s="173"/>
      <c r="E9" s="173" t="s">
        <v>16</v>
      </c>
      <c r="F9" s="184"/>
      <c r="G9" s="40"/>
      <c r="H9" s="40"/>
      <c r="I9" s="50"/>
      <c r="J9" s="40"/>
      <c r="K9" s="40"/>
    </row>
    <row r="10" spans="1:11" ht="54" customHeight="1" x14ac:dyDescent="0.25">
      <c r="A10" s="1"/>
      <c r="B10" s="1"/>
      <c r="C10" s="185" t="s">
        <v>17</v>
      </c>
      <c r="D10" s="186"/>
      <c r="E10" s="187" t="s">
        <v>18</v>
      </c>
      <c r="F10" s="188"/>
      <c r="G10" s="41"/>
      <c r="H10" s="42">
        <v>1</v>
      </c>
      <c r="I10" s="50"/>
      <c r="J10" s="40"/>
      <c r="K10" s="40"/>
    </row>
    <row r="11" spans="1:11" ht="46.5" customHeight="1" x14ac:dyDescent="0.25">
      <c r="A11" s="1"/>
      <c r="B11" s="1"/>
      <c r="C11" s="174" t="s">
        <v>19</v>
      </c>
      <c r="D11" s="175"/>
      <c r="E11" s="176" t="s">
        <v>114</v>
      </c>
      <c r="F11" s="177"/>
      <c r="G11" s="43" t="s">
        <v>115</v>
      </c>
      <c r="H11" s="42">
        <v>0.75</v>
      </c>
      <c r="I11" s="50"/>
      <c r="J11" s="40"/>
      <c r="K11" s="40"/>
    </row>
    <row r="12" spans="1:11" ht="70.5" customHeight="1" thickBot="1" x14ac:dyDescent="0.3">
      <c r="A12" s="1"/>
      <c r="B12" s="1"/>
      <c r="C12" s="178" t="s">
        <v>21</v>
      </c>
      <c r="D12" s="179"/>
      <c r="E12" s="180" t="s">
        <v>116</v>
      </c>
      <c r="F12" s="181"/>
      <c r="G12" s="44"/>
      <c r="H12" s="42">
        <v>0.25</v>
      </c>
      <c r="I12" s="50"/>
      <c r="J12" s="40"/>
      <c r="K12" s="40"/>
    </row>
    <row r="13" spans="1:11" s="1" customFormat="1" x14ac:dyDescent="0.25"/>
    <row r="14" spans="1:11" s="1" customFormat="1" x14ac:dyDescent="0.25"/>
    <row r="15" spans="1:11" s="1" customFormat="1" x14ac:dyDescent="0.25"/>
    <row r="16" spans="1:11" s="1" customFormat="1" ht="15.75" thickBot="1" x14ac:dyDescent="0.3"/>
    <row r="17" spans="1:10" x14ac:dyDescent="0.25">
      <c r="A17" s="1"/>
      <c r="B17" s="1"/>
      <c r="C17" s="271" t="s">
        <v>117</v>
      </c>
      <c r="D17" s="273" t="s">
        <v>118</v>
      </c>
      <c r="E17" s="274"/>
      <c r="F17" s="275" t="s">
        <v>119</v>
      </c>
      <c r="G17" s="277" t="s">
        <v>120</v>
      </c>
      <c r="H17" s="38"/>
      <c r="I17" s="266" t="s">
        <v>121</v>
      </c>
      <c r="J17" s="266" t="s">
        <v>122</v>
      </c>
    </row>
    <row r="18" spans="1:10" ht="36" customHeight="1" thickBot="1" x14ac:dyDescent="0.3">
      <c r="A18" s="1"/>
      <c r="B18" s="1"/>
      <c r="C18" s="272"/>
      <c r="D18" s="122" t="s">
        <v>123</v>
      </c>
      <c r="E18" s="123" t="s">
        <v>27</v>
      </c>
      <c r="F18" s="276"/>
      <c r="G18" s="278"/>
      <c r="H18" s="38"/>
      <c r="I18" s="267"/>
      <c r="J18" s="267"/>
    </row>
    <row r="19" spans="1:10" ht="65.25" customHeight="1" x14ac:dyDescent="0.25">
      <c r="A19" s="1"/>
      <c r="B19" s="1"/>
      <c r="C19" s="141">
        <v>1</v>
      </c>
      <c r="D19" s="268" t="s">
        <v>32</v>
      </c>
      <c r="E19" s="124" t="str">
        <f>+IFERROR(INDEX(Hoja1!$E$2:$E$45,MATCH('Análisis Resultados'!C19,Hoja1!$H$2:$H$45,0)),"")</f>
        <v>Un manual de funciones que describa los empleos de la entidad</v>
      </c>
      <c r="F19" s="125" t="str">
        <f>+IFERROR(VLOOKUP(C19,Hoja1!$H$2:$I$45,2,0),"")</f>
        <v>En proceso</v>
      </c>
      <c r="G19" s="126" t="str">
        <f>+IF(F19="Si","Existe requerimiento pero se requiere actividades  dirigidas a su mantenimiento dentro del marco de las lineas de defensa.",IF(F19="En proceso","Se encuentra en proceso, pero requiere continuar con acciones dirigidas a contar con dicho aspecto de control.","No se encuentra el aspecto  por lo tanto la entidad debera generar acciones dirigidas a que se cumpla con el requerimiento."))</f>
        <v>Se encuentra en proceso, pero requiere continuar con acciones dirigidas a contar con dicho aspecto de control.</v>
      </c>
      <c r="H19" s="18"/>
      <c r="I19" s="142">
        <f>+IF(F19="Si",1,IF(F19="En proceso",0.5,0))</f>
        <v>0.5</v>
      </c>
      <c r="J19" s="281">
        <f>+AVERAGE(I19:I30)</f>
        <v>0.83333333333333337</v>
      </c>
    </row>
    <row r="20" spans="1:10" ht="42.75" x14ac:dyDescent="0.25">
      <c r="A20" s="1"/>
      <c r="B20" s="1"/>
      <c r="C20" s="141">
        <v>2</v>
      </c>
      <c r="D20" s="269"/>
      <c r="E20" s="127" t="str">
        <f>+IFERROR(INDEX(Hoja1!$E$2:$E$45,MATCH('Análisis Resultados'!C20,Hoja1!$H$2:$H$45,0)),"")</f>
        <v>La documentación de sus procesos y procedimientos o bien una lista de actividades principales que permitan conocer el estado de su gestión</v>
      </c>
      <c r="F20" s="128" t="str">
        <f>+IFERROR(VLOOKUP(C20,Hoja1!$H$2:$I$45,2,0),"")</f>
        <v>En proceso</v>
      </c>
      <c r="G20" s="129" t="str">
        <f t="shared" ref="G20:G62" si="0">+IF(F20="Si","Existe requerimiento pero se requiere actividades  dirigidas a su mantenimiento dentro del marco de las lineas de defensa.",IF(F20="En proceso","Se encuentra en proceso, pero requiere continuar con acciones dirigidas a contar con dicho aspecto de control.","No se encuentra el aspecto  por lo tanto la entidad debera generar acciones dirigidas a que se cumpla con el requerimiento."))</f>
        <v>Se encuentra en proceso, pero requiere continuar con acciones dirigidas a contar con dicho aspecto de control.</v>
      </c>
      <c r="H20" s="18"/>
      <c r="I20" s="143">
        <f t="shared" ref="I20:I62" si="1">+IF(F20="Si",1,IF(F20="En proceso",0.5,0))</f>
        <v>0.5</v>
      </c>
      <c r="J20" s="282"/>
    </row>
    <row r="21" spans="1:10" ht="42.75" x14ac:dyDescent="0.25">
      <c r="A21" s="1"/>
      <c r="B21" s="1"/>
      <c r="C21" s="141">
        <v>3</v>
      </c>
      <c r="D21" s="269"/>
      <c r="E21" s="127" t="str">
        <f>+IFERROR(INDEX(Hoja1!$E$2:$E$45,MATCH('Análisis Resultados'!C21,Hoja1!$H$2:$H$45,0)),"")</f>
        <v>Procesos de inducción, capacitación y bienestar social para sus servidores públicos, de manera directa o en asociación con otras entidades municipales</v>
      </c>
      <c r="F21" s="128" t="str">
        <f>+IFERROR(VLOOKUP(C21,Hoja1!$H$2:$I$45,2,0),"")</f>
        <v>En proceso</v>
      </c>
      <c r="G21" s="129" t="str">
        <f t="shared" si="0"/>
        <v>Se encuentra en proceso, pero requiere continuar con acciones dirigidas a contar con dicho aspecto de control.</v>
      </c>
      <c r="H21" s="18"/>
      <c r="I21" s="143">
        <f t="shared" si="1"/>
        <v>0.5</v>
      </c>
      <c r="J21" s="282"/>
    </row>
    <row r="22" spans="1:10" ht="56.25" customHeight="1" x14ac:dyDescent="0.25">
      <c r="A22" s="1"/>
      <c r="B22" s="1"/>
      <c r="C22" s="141">
        <v>4</v>
      </c>
      <c r="D22" s="269"/>
      <c r="E22" s="127" t="str">
        <f>+IFERROR(INDEX(Hoja1!$E$2:$E$45,MATCH('Análisis Resultados'!C22,Hoja1!$H$2:$H$45,0)),"")</f>
        <v>Evaluación a los servidores públicos de acuerdo con el marco normativo que le rige</v>
      </c>
      <c r="F22" s="128" t="str">
        <f>+IFERROR(VLOOKUP(C22,Hoja1!$H$2:$I$45,2,0),"")</f>
        <v>En proceso</v>
      </c>
      <c r="G22" s="129" t="str">
        <f t="shared" si="0"/>
        <v>Se encuentra en proceso, pero requiere continuar con acciones dirigidas a contar con dicho aspecto de control.</v>
      </c>
      <c r="H22" s="18"/>
      <c r="I22" s="143">
        <f t="shared" si="1"/>
        <v>0.5</v>
      </c>
      <c r="J22" s="282"/>
    </row>
    <row r="23" spans="1:10" ht="45" x14ac:dyDescent="0.25">
      <c r="A23" s="1"/>
      <c r="B23" s="1"/>
      <c r="C23" s="141">
        <v>5</v>
      </c>
      <c r="D23" s="269"/>
      <c r="E23" s="127" t="str">
        <f>+IFERROR(INDEX(Hoja1!$E$2:$E$45,MATCH('Análisis Resultados'!C23,Hoja1!$H$2:$H$45,0)),"")</f>
        <v>Documento interno o adopción del MECI actualizado</v>
      </c>
      <c r="F23" s="128" t="str">
        <f>+IFERROR(VLOOKUP(C23,Hoja1!$H$2:$I$45,2,0),"")</f>
        <v>Si</v>
      </c>
      <c r="G23" s="129" t="str">
        <f t="shared" si="0"/>
        <v>Existe requerimiento pero se requiere actividades  dirigidas a su mantenimiento dentro del marco de las lineas de defensa.</v>
      </c>
      <c r="H23" s="18"/>
      <c r="I23" s="143">
        <f t="shared" si="1"/>
        <v>1</v>
      </c>
      <c r="J23" s="282"/>
    </row>
    <row r="24" spans="1:10" ht="57" x14ac:dyDescent="0.25">
      <c r="A24" s="1"/>
      <c r="B24" s="1"/>
      <c r="C24" s="141">
        <v>6</v>
      </c>
      <c r="D24" s="269"/>
      <c r="E24" s="127" t="str">
        <f>+IFERROR(INDEX(Hoja1!$E$2:$E$45,MATCH('Análisis Resultados'!C24,Hoja1!$H$2:$H$45,0)),"")</f>
        <v>Un documento tal como un código de ética, integridad u otro que formalice los estándares de conducta, los principios institucionales o los valores del servicio público</v>
      </c>
      <c r="F24" s="128" t="str">
        <f>+IFERROR(VLOOKUP(C24,Hoja1!$H$2:$I$45,2,0),"")</f>
        <v>Si</v>
      </c>
      <c r="G24" s="129" t="str">
        <f t="shared" si="0"/>
        <v>Existe requerimiento pero se requiere actividades  dirigidas a su mantenimiento dentro del marco de las lineas de defensa.</v>
      </c>
      <c r="H24" s="18"/>
      <c r="I24" s="143">
        <f t="shared" si="1"/>
        <v>1</v>
      </c>
      <c r="J24" s="282"/>
    </row>
    <row r="25" spans="1:10" ht="45" x14ac:dyDescent="0.25">
      <c r="A25" s="1"/>
      <c r="B25" s="1"/>
      <c r="C25" s="141">
        <v>7</v>
      </c>
      <c r="D25" s="269"/>
      <c r="E25" s="127" t="str">
        <f>+IFERROR(INDEX(Hoja1!$E$2:$E$45,MATCH('Análisis Resultados'!C25,Hoja1!$H$2:$H$45,0)),"")</f>
        <v>Planes, programas y proyectos de acuerdo con las normas que rigen y atendiendo con su propósito fundamental institucional (misión)</v>
      </c>
      <c r="F25" s="128" t="str">
        <f>+IFERROR(VLOOKUP(C25,Hoja1!$H$2:$I$45,2,0),"")</f>
        <v>Si</v>
      </c>
      <c r="G25" s="129" t="str">
        <f t="shared" si="0"/>
        <v>Existe requerimiento pero se requiere actividades  dirigidas a su mantenimiento dentro del marco de las lineas de defensa.</v>
      </c>
      <c r="H25" s="18"/>
      <c r="I25" s="143">
        <f t="shared" si="1"/>
        <v>1</v>
      </c>
      <c r="J25" s="282"/>
    </row>
    <row r="26" spans="1:10" ht="45" x14ac:dyDescent="0.25">
      <c r="A26" s="1"/>
      <c r="B26" s="1"/>
      <c r="C26" s="141">
        <v>8</v>
      </c>
      <c r="D26" s="269"/>
      <c r="E26" s="127" t="str">
        <f>+IFERROR(INDEX(Hoja1!$E$2:$E$45,MATCH('Análisis Resultados'!C26,Hoja1!$H$2:$H$45,0)),"")</f>
        <v>Una estructura organizacional formalizada (organigrama)</v>
      </c>
      <c r="F26" s="128" t="str">
        <f>+IFERROR(VLOOKUP(C26,Hoja1!$H$2:$I$45,2,0),"")</f>
        <v>Si</v>
      </c>
      <c r="G26" s="129" t="str">
        <f t="shared" si="0"/>
        <v>Existe requerimiento pero se requiere actividades  dirigidas a su mantenimiento dentro del marco de las lineas de defensa.</v>
      </c>
      <c r="H26" s="18"/>
      <c r="I26" s="143">
        <f t="shared" si="1"/>
        <v>1</v>
      </c>
      <c r="J26" s="282"/>
    </row>
    <row r="27" spans="1:10" ht="45" x14ac:dyDescent="0.25">
      <c r="A27" s="1"/>
      <c r="B27" s="1"/>
      <c r="C27" s="141">
        <v>9</v>
      </c>
      <c r="D27" s="269"/>
      <c r="E27" s="127" t="str">
        <f>+IFERROR(INDEX(Hoja1!$E$2:$E$45,MATCH('Análisis Resultados'!C27,Hoja1!$H$2:$H$45,0)),"")</f>
        <v>Vinculación de los servidores públicos de acuerdo con el marco normativo que les rige (carrera administrativa, libre nombramiento y remoción, entre otros)</v>
      </c>
      <c r="F27" s="128" t="str">
        <f>+IFERROR(VLOOKUP(C27,Hoja1!$H$2:$I$45,2,0),"")</f>
        <v>Si</v>
      </c>
      <c r="G27" s="129" t="str">
        <f t="shared" si="0"/>
        <v>Existe requerimiento pero se requiere actividades  dirigidas a su mantenimiento dentro del marco de las lineas de defensa.</v>
      </c>
      <c r="H27" s="18"/>
      <c r="I27" s="143">
        <f t="shared" si="1"/>
        <v>1</v>
      </c>
      <c r="J27" s="282"/>
    </row>
    <row r="28" spans="1:10" ht="45" x14ac:dyDescent="0.25">
      <c r="A28" s="1"/>
      <c r="B28" s="1"/>
      <c r="C28" s="141">
        <v>10</v>
      </c>
      <c r="D28" s="269"/>
      <c r="E28" s="127" t="str">
        <f>+IFERROR(INDEX(Hoja1!$E$2:$E$45,MATCH('Análisis Resultados'!C28,Hoja1!$H$2:$H$45,0)),"")</f>
        <v>Procesos de desvinculación de servidores de acuerdo con lo previsto en la Constitución Política y las leyes</v>
      </c>
      <c r="F28" s="128" t="str">
        <f>+IFERROR(VLOOKUP(C28,Hoja1!$H$2:$I$45,2,0),"")</f>
        <v>Si</v>
      </c>
      <c r="G28" s="129" t="str">
        <f t="shared" si="0"/>
        <v>Existe requerimiento pero se requiere actividades  dirigidas a su mantenimiento dentro del marco de las lineas de defensa.</v>
      </c>
      <c r="H28" s="18"/>
      <c r="I28" s="143">
        <f t="shared" si="1"/>
        <v>1</v>
      </c>
      <c r="J28" s="282"/>
    </row>
    <row r="29" spans="1:10" ht="45" x14ac:dyDescent="0.25">
      <c r="A29" s="1"/>
      <c r="B29" s="1"/>
      <c r="C29" s="141">
        <v>11</v>
      </c>
      <c r="D29" s="269"/>
      <c r="E29" s="127" t="str">
        <f>+IFERROR(INDEX(Hoja1!$E$2:$E$45,MATCH('Análisis Resultados'!C29,Hoja1!$H$2:$H$45,0)),"")</f>
        <v>Mecanismos de rendición de cuentas a la ciudadanía</v>
      </c>
      <c r="F29" s="128" t="str">
        <f>+IFERROR(VLOOKUP(C29,Hoja1!$H$2:$I$45,2,0),"")</f>
        <v>Si</v>
      </c>
      <c r="G29" s="129" t="str">
        <f>+IF(F29="Si","Existe requerimiento pero se requiere actividades  dirigidas a su mantenimiento dentro del marco de las lineas de defensa.",IF(F29="En proceso","Se encuentra en proceso, pero requiere continuar con acciones dirigidas a contar con dicho aspecto de control.","No se encuentra el aspecto  por lo tanto la entidad debera generar acciones dirigidas a que se cumpla con el requerimiento."))</f>
        <v>Existe requerimiento pero se requiere actividades  dirigidas a su mantenimiento dentro del marco de las lineas de defensa.</v>
      </c>
      <c r="H29" s="18"/>
      <c r="I29" s="143">
        <f t="shared" si="1"/>
        <v>1</v>
      </c>
      <c r="J29" s="282"/>
    </row>
    <row r="30" spans="1:10" ht="45.75" thickBot="1" x14ac:dyDescent="0.3">
      <c r="A30" s="1"/>
      <c r="B30" s="1"/>
      <c r="C30" s="141">
        <v>12</v>
      </c>
      <c r="D30" s="270"/>
      <c r="E30" s="130" t="str">
        <f>+IFERROR(INDEX(Hoja1!$E$2:$E$45,MATCH('Análisis Resultados'!C30,Hoja1!$H$2:$H$45,0)),"")</f>
        <v>Presentación oportuna de sus informes de gestión a las autoridades competentes</v>
      </c>
      <c r="F30" s="131" t="str">
        <f>+IFERROR(VLOOKUP(C30,Hoja1!$H$2:$I$45,2,0),"")</f>
        <v>Si</v>
      </c>
      <c r="G30" s="132" t="str">
        <f t="shared" si="0"/>
        <v>Existe requerimiento pero se requiere actividades  dirigidas a su mantenimiento dentro del marco de las lineas de defensa.</v>
      </c>
      <c r="H30" s="18"/>
      <c r="I30" s="144">
        <f t="shared" si="1"/>
        <v>1</v>
      </c>
      <c r="J30" s="283"/>
    </row>
    <row r="31" spans="1:10" ht="45" customHeight="1" x14ac:dyDescent="0.25">
      <c r="A31" s="1"/>
      <c r="B31" s="1"/>
      <c r="C31" s="141">
        <v>13</v>
      </c>
      <c r="D31" s="295" t="s">
        <v>61</v>
      </c>
      <c r="E31" s="124" t="str">
        <f>+IFERROR(INDEX(Hoja1!$E$2:$E$45,MATCH('Análisis Resultados'!C31,Hoja1!$H$2:$H$45,0)),"")</f>
        <v>Solamente hasta que un organismo de control actúa se definen acciones de mejora.</v>
      </c>
      <c r="F31" s="125" t="str">
        <f>+IFERROR(VLOOKUP(C31,Hoja1!$H$2:$I$45,2,0),"")</f>
        <v>No</v>
      </c>
      <c r="G31" s="126" t="str">
        <f t="shared" si="0"/>
        <v>No se encuentra el aspecto  por lo tanto la entidad debera generar acciones dirigidas a que se cumpla con el requerimiento.</v>
      </c>
      <c r="H31" s="18"/>
      <c r="I31" s="142">
        <f t="shared" si="1"/>
        <v>0</v>
      </c>
      <c r="J31" s="279">
        <f>+AVERAGE(I31:I40)</f>
        <v>0.7</v>
      </c>
    </row>
    <row r="32" spans="1:10" ht="57" customHeight="1" x14ac:dyDescent="0.25">
      <c r="A32" s="1"/>
      <c r="B32" s="1"/>
      <c r="C32" s="141">
        <v>14</v>
      </c>
      <c r="D32" s="296"/>
      <c r="E32" s="127" t="str">
        <f>+IFERROR(INDEX(Hoja1!$E$2:$E$45,MATCH('Análisis Resultados'!C32,Hoja1!$H$2:$H$45,0)),"")</f>
        <v>La identificación de aquellos problemas o aspectos que pueden afectar el cumplimiento de los planes de la entidad y en general su gestión institucional (riesgos)</v>
      </c>
      <c r="F32" s="128" t="str">
        <f>+IFERROR(VLOOKUP(C32,Hoja1!$H$2:$I$45,2,0),"")</f>
        <v>En proceso</v>
      </c>
      <c r="G32" s="129" t="str">
        <f t="shared" si="0"/>
        <v>Se encuentra en proceso, pero requiere continuar con acciones dirigidas a contar con dicho aspecto de control.</v>
      </c>
      <c r="H32" s="18"/>
      <c r="I32" s="143">
        <f t="shared" si="1"/>
        <v>0.5</v>
      </c>
      <c r="J32" s="280"/>
    </row>
    <row r="33" spans="1:10" ht="54" customHeight="1" x14ac:dyDescent="0.25">
      <c r="A33" s="1"/>
      <c r="B33" s="1"/>
      <c r="C33" s="141">
        <v>15</v>
      </c>
      <c r="D33" s="296"/>
      <c r="E33" s="127" t="str">
        <f>+IFERROR(INDEX(Hoja1!$E$2:$E$45,MATCH('Análisis Resultados'!C33,Hoja1!$H$2:$H$45,0)),"")</f>
        <v>Si su capacidad e infraestructura lo permite, identificación de riesgos asociados a las tecnologías de la información y las comunicaciones</v>
      </c>
      <c r="F33" s="128" t="str">
        <f>+IFERROR(VLOOKUP(C33,Hoja1!$H$2:$I$45,2,0),"")</f>
        <v>En proceso</v>
      </c>
      <c r="G33" s="129" t="str">
        <f t="shared" si="0"/>
        <v>Se encuentra en proceso, pero requiere continuar con acciones dirigidas a contar con dicho aspecto de control.</v>
      </c>
      <c r="H33" s="18"/>
      <c r="I33" s="143">
        <f t="shared" si="1"/>
        <v>0.5</v>
      </c>
      <c r="J33" s="280"/>
    </row>
    <row r="34" spans="1:10" ht="42.75" x14ac:dyDescent="0.25">
      <c r="A34" s="1"/>
      <c r="B34" s="1"/>
      <c r="C34" s="141">
        <v>16</v>
      </c>
      <c r="D34" s="296"/>
      <c r="E34" s="127" t="str">
        <f>+IFERROR(INDEX(Hoja1!$E$2:$E$45,MATCH('Análisis Resultados'!C34,Hoja1!$H$2:$H$45,0)),"")</f>
        <v>Informan de manera periódica a quien corresponda sobre el desempeño de las actividades de gestión de riesgos</v>
      </c>
      <c r="F34" s="128" t="str">
        <f>+IFERROR(VLOOKUP(C34,Hoja1!$H$2:$I$45,2,0),"")</f>
        <v>En proceso</v>
      </c>
      <c r="G34" s="129" t="str">
        <f t="shared" si="0"/>
        <v>Se encuentra en proceso, pero requiere continuar con acciones dirigidas a contar con dicho aspecto de control.</v>
      </c>
      <c r="H34" s="18"/>
      <c r="I34" s="143">
        <f t="shared" si="1"/>
        <v>0.5</v>
      </c>
      <c r="J34" s="280"/>
    </row>
    <row r="35" spans="1:10" ht="67.5" customHeight="1" x14ac:dyDescent="0.25">
      <c r="A35" s="1"/>
      <c r="B35" s="1"/>
      <c r="C35" s="141">
        <v>17</v>
      </c>
      <c r="D35" s="296"/>
      <c r="E35" s="127" t="str">
        <f>+IFERROR(INDEX(Hoja1!$E$2:$E$45,MATCH('Análisis Resultados'!C35,Hoja1!$H$2:$H$45,0)),"")</f>
        <v>Identifican deficiencias en las maneras de  controlar los riesgos o problemas en sus procesos, programas o proyectos, y propone los ajustes necesarios</v>
      </c>
      <c r="F35" s="128" t="str">
        <f>+IFERROR(VLOOKUP(C35,Hoja1!$H$2:$I$45,2,0),"")</f>
        <v>En proceso</v>
      </c>
      <c r="G35" s="129" t="str">
        <f t="shared" si="0"/>
        <v>Se encuentra en proceso, pero requiere continuar con acciones dirigidas a contar con dicho aspecto de control.</v>
      </c>
      <c r="H35" s="18"/>
      <c r="I35" s="143">
        <f t="shared" si="1"/>
        <v>0.5</v>
      </c>
      <c r="J35" s="280"/>
    </row>
    <row r="36" spans="1:10" ht="45" x14ac:dyDescent="0.25">
      <c r="A36" s="1"/>
      <c r="B36" s="1"/>
      <c r="C36" s="141">
        <v>18</v>
      </c>
      <c r="D36" s="296"/>
      <c r="E36" s="127" t="str">
        <f>+IFERROR(INDEX(Hoja1!$E$2:$E$45,MATCH('Análisis Resultados'!C36,Hoja1!$H$2:$H$45,0)),"")</f>
        <v>La identificación de cambios en su entorno que pueden generar consecuencias negativas en su gestión</v>
      </c>
      <c r="F36" s="128" t="str">
        <f>+IFERROR(VLOOKUP(C36,Hoja1!$H$2:$I$45,2,0),"")</f>
        <v>Si</v>
      </c>
      <c r="G36" s="129" t="str">
        <f t="shared" si="0"/>
        <v>Existe requerimiento pero se requiere actividades  dirigidas a su mantenimiento dentro del marco de las lineas de defensa.</v>
      </c>
      <c r="H36" s="18"/>
      <c r="I36" s="143">
        <f t="shared" si="1"/>
        <v>1</v>
      </c>
      <c r="J36" s="280"/>
    </row>
    <row r="37" spans="1:10" ht="57" customHeight="1" x14ac:dyDescent="0.25">
      <c r="A37" s="1"/>
      <c r="B37" s="1"/>
      <c r="C37" s="141">
        <v>19</v>
      </c>
      <c r="D37" s="296"/>
      <c r="E37" s="127" t="str">
        <f>+IFERROR(INDEX(Hoja1!$E$2:$E$45,MATCH('Análisis Resultados'!C37,Hoja1!$H$2:$H$45,0)),"")</f>
        <v>La identificación  de los riesgos relacionados con posibles actos de corrupción en el ejercicio de sus funciones</v>
      </c>
      <c r="F37" s="128" t="str">
        <f>+IFERROR(VLOOKUP(C37,Hoja1!$H$2:$I$45,2,0),"")</f>
        <v>Si</v>
      </c>
      <c r="G37" s="129" t="str">
        <f t="shared" si="0"/>
        <v>Existe requerimiento pero se requiere actividades  dirigidas a su mantenimiento dentro del marco de las lineas de defensa.</v>
      </c>
      <c r="H37" s="18"/>
      <c r="I37" s="143">
        <f t="shared" si="1"/>
        <v>1</v>
      </c>
      <c r="J37" s="280"/>
    </row>
    <row r="38" spans="1:10" ht="45" x14ac:dyDescent="0.25">
      <c r="A38" s="1"/>
      <c r="B38" s="1"/>
      <c r="C38" s="141">
        <v>20</v>
      </c>
      <c r="D38" s="296"/>
      <c r="E38" s="127" t="str">
        <f>+IFERROR(INDEX(Hoja1!$E$2:$E$45,MATCH('Análisis Resultados'!C38,Hoja1!$H$2:$H$45,0)),"")</f>
        <v>Hacen seguimiento a los problemas (riesgos)  que pueden afectar el cumplimiento de sus procesos, programas o proyectos a cargo</v>
      </c>
      <c r="F38" s="128" t="str">
        <f>+IFERROR(VLOOKUP(C38,Hoja1!$H$2:$I$45,2,0),"")</f>
        <v>Si</v>
      </c>
      <c r="G38" s="129" t="str">
        <f t="shared" si="0"/>
        <v>Existe requerimiento pero se requiere actividades  dirigidas a su mantenimiento dentro del marco de las lineas de defensa.</v>
      </c>
      <c r="H38" s="18"/>
      <c r="I38" s="143">
        <f t="shared" si="1"/>
        <v>1</v>
      </c>
      <c r="J38" s="280"/>
    </row>
    <row r="39" spans="1:10" ht="45" x14ac:dyDescent="0.25">
      <c r="A39" s="1"/>
      <c r="B39" s="1"/>
      <c r="C39" s="141">
        <v>21</v>
      </c>
      <c r="D39" s="296"/>
      <c r="E39" s="127" t="str">
        <f>+IFERROR(INDEX(Hoja1!$E$2:$E$45,MATCH('Análisis Resultados'!C39,Hoja1!$H$2:$H$45,0)),"")</f>
        <v>Se definen espacios de reunión para conocerlos y proponer acciones para su solución</v>
      </c>
      <c r="F39" s="128" t="str">
        <f>+IFERROR(VLOOKUP(C39,Hoja1!$H$2:$I$45,2,0),"")</f>
        <v>Si</v>
      </c>
      <c r="G39" s="129" t="str">
        <f t="shared" si="0"/>
        <v>Existe requerimiento pero se requiere actividades  dirigidas a su mantenimiento dentro del marco de las lineas de defensa.</v>
      </c>
      <c r="H39" s="18"/>
      <c r="I39" s="143">
        <f t="shared" si="1"/>
        <v>1</v>
      </c>
      <c r="J39" s="280"/>
    </row>
    <row r="40" spans="1:10" ht="45.75" thickBot="1" x14ac:dyDescent="0.3">
      <c r="A40" s="1"/>
      <c r="B40" s="1"/>
      <c r="C40" s="141">
        <v>22</v>
      </c>
      <c r="D40" s="296"/>
      <c r="E40" s="133" t="str">
        <f>+IFERROR(INDEX(Hoja1!$E$2:$E$45,MATCH('Análisis Resultados'!C40,Hoja1!$H$2:$H$45,0)),"")</f>
        <v>Cada líder del equipo autónomamente toma las acciones para solucionarlos.</v>
      </c>
      <c r="F40" s="134" t="str">
        <f>+IFERROR(VLOOKUP(C40,Hoja1!$H$2:$I$45,2,0),"")</f>
        <v>Si</v>
      </c>
      <c r="G40" s="135" t="str">
        <f t="shared" si="0"/>
        <v>Existe requerimiento pero se requiere actividades  dirigidas a su mantenimiento dentro del marco de las lineas de defensa.</v>
      </c>
      <c r="H40" s="18"/>
      <c r="I40" s="145">
        <f t="shared" si="1"/>
        <v>1</v>
      </c>
      <c r="J40" s="280"/>
    </row>
    <row r="41" spans="1:10" ht="87.75" customHeight="1" x14ac:dyDescent="0.25">
      <c r="A41" s="1"/>
      <c r="B41" s="1"/>
      <c r="C41" s="141">
        <v>23</v>
      </c>
      <c r="D41" s="291" t="s">
        <v>79</v>
      </c>
      <c r="E41" s="124" t="str">
        <f>+IFERROR(INDEX(Hoja1!$E$2:$E$45,MATCH('Análisis Resultados'!C41,Hoja1!$H$2:$H$45,0)),"")</f>
        <v>Mecanismos de verificación de si se están o no mitigando los riesgos, o en su defecto, elaboración de planes de contingencia para subsanar sus consecuencias</v>
      </c>
      <c r="F41" s="125" t="str">
        <f>+IFERROR(VLOOKUP(C41,Hoja1!$H$2:$I$45,2,0),"")</f>
        <v>En proceso</v>
      </c>
      <c r="G41" s="126" t="str">
        <f t="shared" si="0"/>
        <v>Se encuentra en proceso, pero requiere continuar con acciones dirigidas a contar con dicho aspecto de control.</v>
      </c>
      <c r="H41" s="18"/>
      <c r="I41" s="142">
        <f t="shared" si="1"/>
        <v>0.5</v>
      </c>
      <c r="J41" s="279">
        <f>+AVERAGE(I41:I45)</f>
        <v>0.9</v>
      </c>
    </row>
    <row r="42" spans="1:10" ht="57" x14ac:dyDescent="0.25">
      <c r="A42" s="1"/>
      <c r="B42" s="1"/>
      <c r="C42" s="141">
        <v>24</v>
      </c>
      <c r="D42" s="292"/>
      <c r="E42" s="127" t="str">
        <f>+IFERROR(INDEX(Hoja1!$E$2:$E$45,MATCH('Análisis Resultados'!C42,Hoja1!$H$2:$H$45,0)),"")</f>
        <v>La definición de acciones o actividades para para dar tratamiento a los problemas identificados (mitigación de riesgos), incluyendo aquellos asociados a posibles actos de corrupción</v>
      </c>
      <c r="F42" s="128" t="str">
        <f>+IFERROR(VLOOKUP(C42,Hoja1!$H$2:$I$45,2,0),"")</f>
        <v>Si</v>
      </c>
      <c r="G42" s="129" t="str">
        <f t="shared" si="0"/>
        <v>Existe requerimiento pero se requiere actividades  dirigidas a su mantenimiento dentro del marco de las lineas de defensa.</v>
      </c>
      <c r="H42" s="18"/>
      <c r="I42" s="143">
        <f t="shared" si="1"/>
        <v>1</v>
      </c>
      <c r="J42" s="280"/>
    </row>
    <row r="43" spans="1:10" ht="85.5" customHeight="1" x14ac:dyDescent="0.25">
      <c r="A43" s="1"/>
      <c r="B43" s="1"/>
      <c r="C43" s="141">
        <v>25</v>
      </c>
      <c r="D43" s="292"/>
      <c r="E43" s="127" t="str">
        <f>+IFERROR(INDEX(Hoja1!$E$2:$E$45,MATCH('Análisis Resultados'!C43,Hoja1!$H$2:$H$45,0)),"")</f>
        <v>Planes, acciones o estrategias que permitan subsanar las consecuencias de la materialización de los riesgos, cuando se presentan</v>
      </c>
      <c r="F43" s="128" t="str">
        <f>+IFERROR(VLOOKUP(C43,Hoja1!$H$2:$I$45,2,0),"")</f>
        <v>Si</v>
      </c>
      <c r="G43" s="129" t="str">
        <f t="shared" si="0"/>
        <v>Existe requerimiento pero se requiere actividades  dirigidas a su mantenimiento dentro del marco de las lineas de defensa.</v>
      </c>
      <c r="H43" s="18"/>
      <c r="I43" s="143">
        <f t="shared" si="1"/>
        <v>1</v>
      </c>
      <c r="J43" s="280"/>
    </row>
    <row r="44" spans="1:10" ht="57" customHeight="1" x14ac:dyDescent="0.25">
      <c r="A44" s="1"/>
      <c r="B44" s="1"/>
      <c r="C44" s="141">
        <v>26</v>
      </c>
      <c r="D44" s="292"/>
      <c r="E44" s="127" t="str">
        <f>+IFERROR(INDEX(Hoja1!$E$2:$E$45,MATCH('Análisis Resultados'!C44,Hoja1!$H$2:$H$45,0)),"")</f>
        <v>Un documento que consolide  los riesgos  y el tratamiento que se les da, incluyendo aquellos que conllevan posibles actos de corrupción y si la capacidad e infraestructura lo permite, los asociados con las tecnologías de la información y las comunicaciones</v>
      </c>
      <c r="F44" s="128" t="str">
        <f>+IFERROR(VLOOKUP(C44,Hoja1!$H$2:$I$45,2,0),"")</f>
        <v>Si</v>
      </c>
      <c r="G44" s="129" t="str">
        <f t="shared" si="0"/>
        <v>Existe requerimiento pero se requiere actividades  dirigidas a su mantenimiento dentro del marco de las lineas de defensa.</v>
      </c>
      <c r="H44" s="18"/>
      <c r="I44" s="143">
        <f t="shared" si="1"/>
        <v>1</v>
      </c>
      <c r="J44" s="280"/>
    </row>
    <row r="45" spans="1:10" ht="57" customHeight="1" thickBot="1" x14ac:dyDescent="0.3">
      <c r="A45" s="1"/>
      <c r="B45" s="1"/>
      <c r="C45" s="141">
        <v>27</v>
      </c>
      <c r="D45" s="293"/>
      <c r="E45" s="130" t="str">
        <f>+IFERROR(INDEX(Hoja1!$E$2:$E$45,MATCH('Análisis Resultados'!C45,Hoja1!$H$2:$H$45,0)),"")</f>
        <v>Un plan anticorrupción y de servicio al ciudadano con los temas que le aplican, publicado en algún medio para conocimiento de la ciudadanía</v>
      </c>
      <c r="F45" s="131" t="str">
        <f>+IFERROR(VLOOKUP(C45,Hoja1!$H$2:$I$45,2,0),"")</f>
        <v>Si</v>
      </c>
      <c r="G45" s="132" t="str">
        <f t="shared" si="0"/>
        <v>Existe requerimiento pero se requiere actividades  dirigidas a su mantenimiento dentro del marco de las lineas de defensa.</v>
      </c>
      <c r="H45" s="18"/>
      <c r="I45" s="144">
        <f t="shared" si="1"/>
        <v>1</v>
      </c>
      <c r="J45" s="294"/>
    </row>
    <row r="46" spans="1:10" ht="63.75" customHeight="1" x14ac:dyDescent="0.25">
      <c r="A46" s="1"/>
      <c r="B46" s="1"/>
      <c r="C46" s="141">
        <v>28</v>
      </c>
      <c r="D46" s="290" t="s">
        <v>87</v>
      </c>
      <c r="E46" s="136" t="str">
        <f>+IFERROR(INDEX(Hoja1!$E$2:$E$45,MATCH('Análisis Resultados'!C46,Hoja1!$H$2:$H$45,0)),"")</f>
        <v>Identificación de información que produce en el marco de su gestión (Para los ciudadanos, organismos de control, organismos gubernamentales, entre otros)</v>
      </c>
      <c r="F46" s="137" t="str">
        <f>+IFERROR(VLOOKUP(C46,Hoja1!$H$2:$I$45,2,0),"")</f>
        <v>En proceso</v>
      </c>
      <c r="G46" s="138" t="str">
        <f t="shared" si="0"/>
        <v>Se encuentra en proceso, pero requiere continuar con acciones dirigidas a contar con dicho aspecto de control.</v>
      </c>
      <c r="H46" s="18"/>
      <c r="I46" s="146">
        <f t="shared" si="1"/>
        <v>0.5</v>
      </c>
      <c r="J46" s="280">
        <f>+AVERAGE(I46:I52)</f>
        <v>0.7857142857142857</v>
      </c>
    </row>
    <row r="47" spans="1:10" ht="92.25" customHeight="1" x14ac:dyDescent="0.25">
      <c r="A47" s="1"/>
      <c r="B47" s="1"/>
      <c r="C47" s="141">
        <v>29</v>
      </c>
      <c r="D47" s="290"/>
      <c r="E47" s="127" t="str">
        <f>+IFERROR(INDEX(Hoja1!$E$2:$E$45,MATCH('Análisis Resultados'!C47,Hoja1!$H$2:$H$45,0)),"")</f>
        <v>Identificación de información necesaria para la operación de la entidad (normograma, presupuesto, talento humano, infraestructura física y tecnológica)</v>
      </c>
      <c r="F47" s="128" t="str">
        <f>+IFERROR(VLOOKUP(C47,Hoja1!$H$2:$I$45,2,0),"")</f>
        <v>En proceso</v>
      </c>
      <c r="G47" s="139" t="str">
        <f t="shared" si="0"/>
        <v>Se encuentra en proceso, pero requiere continuar con acciones dirigidas a contar con dicho aspecto de control.</v>
      </c>
      <c r="H47" s="18"/>
      <c r="I47" s="147">
        <f t="shared" si="1"/>
        <v>0.5</v>
      </c>
      <c r="J47" s="280"/>
    </row>
    <row r="48" spans="1:10" ht="66.75" customHeight="1" x14ac:dyDescent="0.25">
      <c r="A48" s="1"/>
      <c r="B48" s="1"/>
      <c r="C48" s="141">
        <v>30</v>
      </c>
      <c r="D48" s="290"/>
      <c r="E48" s="127" t="str">
        <f>+IFERROR(INDEX(Hoja1!$E$2:$E$45,MATCH('Análisis Resultados'!C48,Hoja1!$H$2:$H$45,0)),"")</f>
        <v>Si su capacidad e infraestructura lo permite, tecnologías de la información y las comunicaciones que soporten estos procesos</v>
      </c>
      <c r="F48" s="128" t="str">
        <f>+IFERROR(VLOOKUP(C48,Hoja1!$H$2:$I$45,2,0),"")</f>
        <v>En proceso</v>
      </c>
      <c r="G48" s="139" t="str">
        <f t="shared" si="0"/>
        <v>Se encuentra en proceso, pero requiere continuar con acciones dirigidas a contar con dicho aspecto de control.</v>
      </c>
      <c r="H48" s="18"/>
      <c r="I48" s="147">
        <f t="shared" si="1"/>
        <v>0.5</v>
      </c>
      <c r="J48" s="280"/>
    </row>
    <row r="49" spans="1:10" ht="60" customHeight="1" x14ac:dyDescent="0.25">
      <c r="A49" s="1"/>
      <c r="B49" s="1"/>
      <c r="C49" s="141">
        <v>31</v>
      </c>
      <c r="D49" s="290"/>
      <c r="E49" s="127" t="str">
        <f>+IFERROR(INDEX(Hoja1!$E$2:$E$45,MATCH('Análisis Resultados'!C49,Hoja1!$H$2:$H$45,0)),"")</f>
        <v>Responsables de la información institucional</v>
      </c>
      <c r="F49" s="128" t="str">
        <f>+IFERROR(VLOOKUP(C49,Hoja1!$H$2:$I$45,2,0),"")</f>
        <v>Si</v>
      </c>
      <c r="G49" s="139" t="str">
        <f t="shared" si="0"/>
        <v>Existe requerimiento pero se requiere actividades  dirigidas a su mantenimiento dentro del marco de las lineas de defensa.</v>
      </c>
      <c r="H49" s="18"/>
      <c r="I49" s="147">
        <f t="shared" si="1"/>
        <v>1</v>
      </c>
      <c r="J49" s="280"/>
    </row>
    <row r="50" spans="1:10" ht="57" customHeight="1" x14ac:dyDescent="0.25">
      <c r="A50" s="1"/>
      <c r="B50" s="1"/>
      <c r="C50" s="141">
        <v>32</v>
      </c>
      <c r="D50" s="290"/>
      <c r="E50" s="127" t="str">
        <f>+IFERROR(INDEX(Hoja1!$E$2:$E$45,MATCH('Análisis Resultados'!C50,Hoja1!$H$2:$H$45,0)),"")</f>
        <v>Canales de comunicación con los ciudadanos</v>
      </c>
      <c r="F50" s="128" t="str">
        <f>+IFERROR(VLOOKUP(C50,Hoja1!$H$2:$I$45,2,0),"")</f>
        <v>Si</v>
      </c>
      <c r="G50" s="139" t="str">
        <f t="shared" si="0"/>
        <v>Existe requerimiento pero se requiere actividades  dirigidas a su mantenimiento dentro del marco de las lineas de defensa.</v>
      </c>
      <c r="H50" s="18"/>
      <c r="I50" s="147">
        <f t="shared" si="1"/>
        <v>1</v>
      </c>
      <c r="J50" s="280"/>
    </row>
    <row r="51" spans="1:10" ht="57" customHeight="1" x14ac:dyDescent="0.25">
      <c r="A51" s="1"/>
      <c r="B51" s="1"/>
      <c r="C51" s="141">
        <v>33</v>
      </c>
      <c r="D51" s="290"/>
      <c r="E51" s="127" t="str">
        <f>+IFERROR(INDEX(Hoja1!$E$2:$E$45,MATCH('Análisis Resultados'!C51,Hoja1!$H$2:$H$45,0)),"")</f>
        <v>Canales de comunicación o mecanismos de reporte de información a otros organismos gubernamentales o de control</v>
      </c>
      <c r="F51" s="128" t="str">
        <f>+IFERROR(VLOOKUP(C51,Hoja1!$H$2:$I$45,2,0),"")</f>
        <v>Si</v>
      </c>
      <c r="G51" s="139" t="str">
        <f t="shared" si="0"/>
        <v>Existe requerimiento pero se requiere actividades  dirigidas a su mantenimiento dentro del marco de las lineas de defensa.</v>
      </c>
      <c r="H51" s="18"/>
      <c r="I51" s="147">
        <f t="shared" si="1"/>
        <v>1</v>
      </c>
      <c r="J51" s="280"/>
    </row>
    <row r="52" spans="1:10" ht="45.75" thickBot="1" x14ac:dyDescent="0.3">
      <c r="A52" s="1"/>
      <c r="B52" s="1"/>
      <c r="C52" s="141">
        <v>34</v>
      </c>
      <c r="D52" s="290"/>
      <c r="E52" s="133" t="str">
        <f>+IFERROR(INDEX(Hoja1!$E$2:$E$45,MATCH('Análisis Resultados'!C52,Hoja1!$H$2:$H$45,0)),"")</f>
        <v xml:space="preserve">Lineamientos para dar tratamiento a la información de carácter reservado </v>
      </c>
      <c r="F52" s="134" t="str">
        <f>+IFERROR(VLOOKUP(C52,Hoja1!$H$2:$I$45,2,0),"")</f>
        <v>Si</v>
      </c>
      <c r="G52" s="140" t="str">
        <f t="shared" si="0"/>
        <v>Existe requerimiento pero se requiere actividades  dirigidas a su mantenimiento dentro del marco de las lineas de defensa.</v>
      </c>
      <c r="H52" s="18"/>
      <c r="I52" s="148">
        <f t="shared" si="1"/>
        <v>1</v>
      </c>
      <c r="J52" s="280"/>
    </row>
    <row r="53" spans="1:10" ht="41.25" customHeight="1" x14ac:dyDescent="0.25">
      <c r="A53" s="1"/>
      <c r="B53" s="1"/>
      <c r="C53" s="141">
        <v>35</v>
      </c>
      <c r="D53" s="284" t="s">
        <v>97</v>
      </c>
      <c r="E53" s="124" t="str">
        <f>+IFERROR(INDEX(Hoja1!$E$2:$E$45,MATCH('Análisis Resultados'!C53,Hoja1!$H$2:$H$45,0)),"")</f>
        <v>La entidad participa en el  Comité Municipal de Auditoría?</v>
      </c>
      <c r="F53" s="125" t="str">
        <f>+IFERROR(VLOOKUP(C53,Hoja1!$H$2:$I$45,2,0),"")</f>
        <v>No</v>
      </c>
      <c r="G53" s="126" t="str">
        <f t="shared" si="0"/>
        <v>No se encuentra el aspecto  por lo tanto la entidad debera generar acciones dirigidas a que se cumpla con el requerimiento.</v>
      </c>
      <c r="H53" s="18"/>
      <c r="I53" s="142">
        <f t="shared" si="1"/>
        <v>0</v>
      </c>
      <c r="J53" s="287">
        <f>+AVERAGE(I53:I62)</f>
        <v>0.6</v>
      </c>
    </row>
    <row r="54" spans="1:10" ht="58.5" customHeight="1" x14ac:dyDescent="0.25">
      <c r="A54" s="1"/>
      <c r="B54" s="1"/>
      <c r="C54" s="141">
        <v>36</v>
      </c>
      <c r="D54" s="285"/>
      <c r="E54" s="127" t="str">
        <f>+IFERROR(INDEX(Hoja1!$E$2:$E$45,MATCH('Análisis Resultados'!C54,Hoja1!$H$2:$H$45,0)),"")</f>
        <v>Mecanismos de evaluación de la gestión (cronogramas, indicadores, listas de chequeo u otros)</v>
      </c>
      <c r="F54" s="128" t="str">
        <f>+IFERROR(VLOOKUP(C54,Hoja1!$H$2:$I$45,2,0),"")</f>
        <v>En proceso</v>
      </c>
      <c r="G54" s="129" t="str">
        <f t="shared" si="0"/>
        <v>Se encuentra en proceso, pero requiere continuar con acciones dirigidas a contar con dicho aspecto de control.</v>
      </c>
      <c r="H54" s="18"/>
      <c r="I54" s="143">
        <f t="shared" si="1"/>
        <v>0.5</v>
      </c>
      <c r="J54" s="288"/>
    </row>
    <row r="55" spans="1:10" s="1" customFormat="1" ht="84.75" customHeight="1" x14ac:dyDescent="0.25">
      <c r="C55" s="141">
        <v>37</v>
      </c>
      <c r="D55" s="285"/>
      <c r="E55" s="127" t="str">
        <f>+IFERROR(INDEX(Hoja1!$E$2:$E$45,MATCH('Análisis Resultados'!C55,Hoja1!$H$2:$H$45,0)),"")</f>
        <v>Algún mecanismo para monitorear o supervisar el sistema de control interno institucional, ya sea por parte del representante legal, o del área de control interno (si la entidad cuenta con ella), o bien a través del Comité departamental o municipal de Auditoría.</v>
      </c>
      <c r="F55" s="128" t="str">
        <f>+IFERROR(VLOOKUP(C55,Hoja1!$H$2:$I$45,2,0),"")</f>
        <v>En proceso</v>
      </c>
      <c r="G55" s="129" t="str">
        <f t="shared" si="0"/>
        <v>Se encuentra en proceso, pero requiere continuar con acciones dirigidas a contar con dicho aspecto de control.</v>
      </c>
      <c r="H55" s="6"/>
      <c r="I55" s="143">
        <f t="shared" si="1"/>
        <v>0.5</v>
      </c>
      <c r="J55" s="288"/>
    </row>
    <row r="56" spans="1:10" s="1" customFormat="1" ht="78.75" customHeight="1" x14ac:dyDescent="0.25">
      <c r="C56" s="141">
        <v>38</v>
      </c>
      <c r="D56" s="285"/>
      <c r="E56" s="127" t="str">
        <f>+IFERROR(INDEX(Hoja1!$E$2:$E$45,MATCH('Análisis Resultados'!C56,Hoja1!$H$2:$H$45,0)),"")</f>
        <v>Medidas correctivas en caso de detectarse deficiencias en los ejercicios de evaluación, seguimiento o auditoría</v>
      </c>
      <c r="F56" s="128" t="str">
        <f>+IFERROR(VLOOKUP(C56,Hoja1!$H$2:$I$45,2,0),"")</f>
        <v>En proceso</v>
      </c>
      <c r="G56" s="129" t="str">
        <f t="shared" si="0"/>
        <v>Se encuentra en proceso, pero requiere continuar con acciones dirigidas a contar con dicho aspecto de control.</v>
      </c>
      <c r="H56" s="6"/>
      <c r="I56" s="143">
        <f t="shared" si="1"/>
        <v>0.5</v>
      </c>
      <c r="J56" s="288"/>
    </row>
    <row r="57" spans="1:10" s="1" customFormat="1" ht="54.75" customHeight="1" x14ac:dyDescent="0.25">
      <c r="C57" s="141">
        <v>39</v>
      </c>
      <c r="D57" s="285"/>
      <c r="E57" s="127" t="str">
        <f>+IFERROR(INDEX(Hoja1!$E$2:$E$45,MATCH('Análisis Resultados'!C57,Hoja1!$H$2:$H$45,0)),"")</f>
        <v>Evitar que los problemas (riesgos) obstaculicen el cumplimiento de los objetivos.</v>
      </c>
      <c r="F57" s="128" t="str">
        <f>+IFERROR(VLOOKUP(C57,Hoja1!$H$2:$I$45,2,0),"")</f>
        <v>En proceso</v>
      </c>
      <c r="G57" s="129" t="str">
        <f t="shared" si="0"/>
        <v>Se encuentra en proceso, pero requiere continuar con acciones dirigidas a contar con dicho aspecto de control.</v>
      </c>
      <c r="H57" s="6"/>
      <c r="I57" s="143">
        <f t="shared" si="1"/>
        <v>0.5</v>
      </c>
      <c r="J57" s="288"/>
    </row>
    <row r="58" spans="1:10" s="1" customFormat="1" ht="68.25" customHeight="1" x14ac:dyDescent="0.25">
      <c r="C58" s="141">
        <v>40</v>
      </c>
      <c r="D58" s="285"/>
      <c r="E58" s="127" t="str">
        <f>+IFERROR(INDEX(Hoja1!$E$2:$E$45,MATCH('Análisis Resultados'!C58,Hoja1!$H$2:$H$45,0)),"")</f>
        <v>Diseñar acciones adecuadas para controlar los problemas que afectan el cumplimiento de las metas y objetivos institucionales (riesgos).</v>
      </c>
      <c r="F58" s="128" t="str">
        <f>+IFERROR(VLOOKUP(C58,Hoja1!$H$2:$I$45,2,0),"")</f>
        <v>En proceso</v>
      </c>
      <c r="G58" s="129" t="str">
        <f t="shared" si="0"/>
        <v>Se encuentra en proceso, pero requiere continuar con acciones dirigidas a contar con dicho aspecto de control.</v>
      </c>
      <c r="H58" s="6"/>
      <c r="I58" s="143">
        <f t="shared" si="1"/>
        <v>0.5</v>
      </c>
      <c r="J58" s="288"/>
    </row>
    <row r="59" spans="1:10" s="1" customFormat="1" ht="45" customHeight="1" x14ac:dyDescent="0.25">
      <c r="C59" s="141">
        <v>41</v>
      </c>
      <c r="D59" s="285"/>
      <c r="E59" s="127" t="str">
        <f>+IFERROR(INDEX(Hoja1!$E$2:$E$45,MATCH('Análisis Resultados'!C59,Hoja1!$H$2:$H$45,0)),"")</f>
        <v>Ejecutar las acciones de acuerdo a como se diseñaron previamente.</v>
      </c>
      <c r="F59" s="128" t="str">
        <f>+IFERROR(VLOOKUP(C59,Hoja1!$H$2:$I$45,2,0),"")</f>
        <v>En proceso</v>
      </c>
      <c r="G59" s="129" t="str">
        <f t="shared" si="0"/>
        <v>Se encuentra en proceso, pero requiere continuar con acciones dirigidas a contar con dicho aspecto de control.</v>
      </c>
      <c r="H59" s="6"/>
      <c r="I59" s="143">
        <f t="shared" si="1"/>
        <v>0.5</v>
      </c>
      <c r="J59" s="288"/>
    </row>
    <row r="60" spans="1:10" s="1" customFormat="1" ht="51.75" customHeight="1" x14ac:dyDescent="0.25">
      <c r="C60" s="141">
        <v>42</v>
      </c>
      <c r="D60" s="285"/>
      <c r="E60" s="127" t="str">
        <f>+IFERROR(INDEX(Hoja1!$E$2:$E$45,MATCH('Análisis Resultados'!C60,Hoja1!$H$2:$H$45,0)),"")</f>
        <v>Seguimiento a los planes de mejoramiento suscritos con instancias de control internas o externas</v>
      </c>
      <c r="F60" s="128" t="str">
        <f>+IFERROR(VLOOKUP(C60,Hoja1!$H$2:$I$45,2,0),"")</f>
        <v>Si</v>
      </c>
      <c r="G60" s="129" t="str">
        <f t="shared" si="0"/>
        <v>Existe requerimiento pero se requiere actividades  dirigidas a su mantenimiento dentro del marco de las lineas de defensa.</v>
      </c>
      <c r="H60" s="6"/>
      <c r="I60" s="143">
        <f t="shared" si="1"/>
        <v>1</v>
      </c>
      <c r="J60" s="288"/>
    </row>
    <row r="61" spans="1:10" s="1" customFormat="1" ht="84" customHeight="1" x14ac:dyDescent="0.25">
      <c r="C61" s="141">
        <v>43</v>
      </c>
      <c r="D61" s="285"/>
      <c r="E61" s="127" t="str">
        <f>+IFERROR(INDEX(Hoja1!$E$2:$E$45,MATCH('Análisis Resultados'!C61,Hoja1!$H$2:$H$45,0)),"")</f>
        <v>Controlar los puntos críticos en los procesos.</v>
      </c>
      <c r="F61" s="128" t="str">
        <f>+IFERROR(VLOOKUP(C61,Hoja1!$H$2:$I$45,2,0),"")</f>
        <v>Si</v>
      </c>
      <c r="G61" s="129" t="str">
        <f t="shared" si="0"/>
        <v>Existe requerimiento pero se requiere actividades  dirigidas a su mantenimiento dentro del marco de las lineas de defensa.</v>
      </c>
      <c r="H61" s="6"/>
      <c r="I61" s="143">
        <f t="shared" si="1"/>
        <v>1</v>
      </c>
      <c r="J61" s="288"/>
    </row>
    <row r="62" spans="1:10" s="1" customFormat="1" ht="60" customHeight="1" thickBot="1" x14ac:dyDescent="0.3">
      <c r="C62" s="141">
        <v>44</v>
      </c>
      <c r="D62" s="286"/>
      <c r="E62" s="130" t="str">
        <f>+IFERROR(INDEX(Hoja1!$E$2:$E$45,MATCH('Análisis Resultados'!C62,Hoja1!$H$2:$H$45,0)),"")</f>
        <v>No se gestionan los problemas que afectan el cumplimiento de las funciones y objetivos institucionales(riesgos).</v>
      </c>
      <c r="F62" s="131" t="str">
        <f>+IFERROR(VLOOKUP(C62,Hoja1!$H$2:$I$45,2,0),"")</f>
        <v>Si</v>
      </c>
      <c r="G62" s="132" t="str">
        <f t="shared" si="0"/>
        <v>Existe requerimiento pero se requiere actividades  dirigidas a su mantenimiento dentro del marco de las lineas de defensa.</v>
      </c>
      <c r="H62" s="6"/>
      <c r="I62" s="144">
        <f t="shared" si="1"/>
        <v>1</v>
      </c>
      <c r="J62" s="289"/>
    </row>
    <row r="63" spans="1:10" s="1" customFormat="1" x14ac:dyDescent="0.25">
      <c r="H63" s="6"/>
    </row>
    <row r="64" spans="1:10" s="1" customFormat="1" x14ac:dyDescent="0.25">
      <c r="H64" s="6"/>
    </row>
    <row r="65" spans="1:2" s="1" customFormat="1" x14ac:dyDescent="0.25"/>
    <row r="66" spans="1:2" s="1" customFormat="1" x14ac:dyDescent="0.25"/>
    <row r="67" spans="1:2" s="1" customFormat="1" x14ac:dyDescent="0.25"/>
    <row r="68" spans="1:2" s="1" customFormat="1" x14ac:dyDescent="0.25"/>
    <row r="69" spans="1:2" s="1" customFormat="1" x14ac:dyDescent="0.25"/>
    <row r="70" spans="1:2" s="1" customFormat="1" x14ac:dyDescent="0.25"/>
    <row r="71" spans="1:2" x14ac:dyDescent="0.25">
      <c r="A71" s="1"/>
      <c r="B71" s="1"/>
    </row>
    <row r="72" spans="1:2" x14ac:dyDescent="0.25">
      <c r="A72" s="1"/>
      <c r="B72" s="1"/>
    </row>
    <row r="73" spans="1:2" x14ac:dyDescent="0.25">
      <c r="A73" s="1"/>
      <c r="B73" s="1"/>
    </row>
    <row r="74" spans="1:2" x14ac:dyDescent="0.25">
      <c r="A74" s="1"/>
      <c r="B74" s="1"/>
    </row>
  </sheetData>
  <sheetProtection algorithmName="SHA-512" hashValue="2c/K7BVeA+JOjsvnu2HILGfEHHcx80UTyQTucJ5c70tus45UaD3gXdqjB7xLC6LydtmfT9VN5B07LstuhHP+UQ==" saltValue="5+Ylqwr6SZ9tvbSyY2m3gQ==" spinCount="100000" sheet="1" objects="1" scenarios="1" formatCells="0"/>
  <mergeCells count="25">
    <mergeCell ref="J31:J40"/>
    <mergeCell ref="C12:D12"/>
    <mergeCell ref="E12:F12"/>
    <mergeCell ref="J19:J30"/>
    <mergeCell ref="D53:D62"/>
    <mergeCell ref="J53:J62"/>
    <mergeCell ref="D46:D52"/>
    <mergeCell ref="J46:J52"/>
    <mergeCell ref="D41:D45"/>
    <mergeCell ref="J41:J45"/>
    <mergeCell ref="D31:D40"/>
    <mergeCell ref="C11:D11"/>
    <mergeCell ref="E11:F11"/>
    <mergeCell ref="J17:J18"/>
    <mergeCell ref="D19:D30"/>
    <mergeCell ref="C17:C18"/>
    <mergeCell ref="D17:E17"/>
    <mergeCell ref="F17:F18"/>
    <mergeCell ref="G17:G18"/>
    <mergeCell ref="I17:I18"/>
    <mergeCell ref="C7:K7"/>
    <mergeCell ref="C9:D9"/>
    <mergeCell ref="E9:F9"/>
    <mergeCell ref="C10:D10"/>
    <mergeCell ref="E10:F10"/>
  </mergeCells>
  <conditionalFormatting sqref="I19:I62">
    <cfRule type="cellIs" dxfId="19" priority="4" operator="between">
      <formula>0.75</formula>
      <formula>1</formula>
    </cfRule>
    <cfRule type="cellIs" dxfId="18" priority="5" operator="between">
      <formula>0.5</formula>
      <formula>0.74</formula>
    </cfRule>
    <cfRule type="cellIs" dxfId="17" priority="6" operator="between">
      <formula>0</formula>
      <formula>0.49</formula>
    </cfRule>
  </conditionalFormatting>
  <conditionalFormatting sqref="J53 J19:J31 J46 J41">
    <cfRule type="cellIs" priority="1" operator="between">
      <formula>0.75</formula>
      <formula>1</formula>
    </cfRule>
    <cfRule type="cellIs" dxfId="16" priority="2" operator="between">
      <formula>0.5</formula>
      <formula>0.75</formula>
    </cfRule>
    <cfRule type="cellIs" dxfId="15" priority="3" operator="between">
      <formula>0</formula>
      <formula>0.49</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7" operator="containsText" id="{B5EC0094-D2B5-49BB-B6F9-E988382E1263}">
            <xm:f>NOT(ISERROR(SEARCH($E$12,G19)))</xm:f>
            <xm:f>$E$12</xm:f>
            <x14:dxf>
              <fill>
                <patternFill>
                  <bgColor rgb="FFFF0000"/>
                </patternFill>
              </fill>
            </x14:dxf>
          </x14:cfRule>
          <x14:cfRule type="containsText" priority="8" operator="containsText" id="{D802A135-824D-43A0-835B-FE63514274DE}">
            <xm:f>NOT(ISERROR(SEARCH($E$11,G19)))</xm:f>
            <xm:f>$E$11</xm:f>
            <x14:dxf>
              <fill>
                <patternFill>
                  <bgColor rgb="FFFFFF00"/>
                </patternFill>
              </fill>
            </x14:dxf>
          </x14:cfRule>
          <x14:cfRule type="containsText" priority="9" operator="containsText" id="{D7844022-1CB2-4683-9B09-8D3EA8F0FDED}">
            <xm:f>NOT(ISERROR(SEARCH($E$10,G19)))</xm:f>
            <xm:f>$E$10</xm:f>
            <x14:dxf>
              <fill>
                <patternFill>
                  <bgColor rgb="FF00B050"/>
                </patternFill>
              </fill>
            </x14:dxf>
          </x14:cfRule>
          <xm:sqref>G19:G62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tabSelected="1" topLeftCell="C1" zoomScale="60" zoomScaleNormal="60" workbookViewId="0">
      <selection activeCell="F6" sqref="F6:M6"/>
    </sheetView>
  </sheetViews>
  <sheetFormatPr baseColWidth="10" defaultColWidth="11.42578125" defaultRowHeight="15" x14ac:dyDescent="0.25"/>
  <cols>
    <col min="1" max="1" width="4.42578125" customWidth="1"/>
    <col min="3" max="3" width="35.5703125" customWidth="1"/>
    <col min="4" max="4" width="13" customWidth="1"/>
    <col min="5" max="5" width="43.28515625" customWidth="1"/>
    <col min="7" max="7" width="33.85546875" customWidth="1"/>
    <col min="9" max="9" width="92.28515625" customWidth="1"/>
    <col min="13" max="13" width="29" customWidth="1"/>
  </cols>
  <sheetData>
    <row r="1" spans="1:17" s="1" customFormat="1" x14ac:dyDescent="0.25"/>
    <row r="2" spans="1:17" ht="15.75" thickBot="1" x14ac:dyDescent="0.3">
      <c r="A2" s="1"/>
      <c r="B2" s="1"/>
      <c r="C2" s="1"/>
      <c r="D2" s="1"/>
      <c r="E2" s="1"/>
      <c r="F2" s="1"/>
      <c r="G2" s="1"/>
      <c r="H2" s="1"/>
      <c r="I2" s="1"/>
      <c r="J2" s="1"/>
      <c r="K2" s="1"/>
      <c r="L2" s="1"/>
      <c r="M2" s="1"/>
      <c r="N2" s="1"/>
      <c r="O2" s="1"/>
      <c r="P2" s="1"/>
      <c r="Q2" s="1"/>
    </row>
    <row r="3" spans="1:17" ht="15.75" thickTop="1" x14ac:dyDescent="0.25">
      <c r="A3" s="1"/>
      <c r="B3" s="2"/>
      <c r="C3" s="3"/>
      <c r="D3" s="3"/>
      <c r="E3" s="3"/>
      <c r="F3" s="3"/>
      <c r="G3" s="3"/>
      <c r="H3" s="3"/>
      <c r="I3" s="3"/>
      <c r="J3" s="3"/>
      <c r="K3" s="3"/>
      <c r="L3" s="3"/>
      <c r="M3" s="3"/>
      <c r="N3" s="3"/>
      <c r="O3" s="3"/>
      <c r="P3" s="4"/>
      <c r="Q3" s="1"/>
    </row>
    <row r="4" spans="1:17" ht="16.5" x14ac:dyDescent="0.3">
      <c r="A4" s="1"/>
      <c r="B4" s="5"/>
      <c r="C4" s="6"/>
      <c r="D4" s="6"/>
      <c r="E4" s="312" t="s">
        <v>124</v>
      </c>
      <c r="F4" s="314" t="s">
        <v>243</v>
      </c>
      <c r="G4" s="314"/>
      <c r="H4" s="314"/>
      <c r="I4" s="314"/>
      <c r="J4" s="314"/>
      <c r="K4" s="314"/>
      <c r="L4" s="314"/>
      <c r="M4" s="314"/>
      <c r="N4" s="7"/>
      <c r="O4" s="7"/>
      <c r="P4" s="8"/>
      <c r="Q4" s="1"/>
    </row>
    <row r="5" spans="1:17" ht="45.75" customHeight="1" x14ac:dyDescent="0.3">
      <c r="A5" s="1"/>
      <c r="B5" s="5"/>
      <c r="C5" s="6"/>
      <c r="D5" s="6"/>
      <c r="E5" s="313"/>
      <c r="F5" s="314"/>
      <c r="G5" s="314"/>
      <c r="H5" s="314"/>
      <c r="I5" s="314"/>
      <c r="J5" s="314"/>
      <c r="K5" s="314"/>
      <c r="L5" s="314"/>
      <c r="M5" s="314"/>
      <c r="N5" s="7"/>
      <c r="O5" s="7"/>
      <c r="P5" s="8"/>
      <c r="Q5" s="1"/>
    </row>
    <row r="6" spans="1:17" ht="66.75" customHeight="1" x14ac:dyDescent="0.3">
      <c r="A6" s="1"/>
      <c r="B6" s="5"/>
      <c r="C6" s="6"/>
      <c r="D6" s="6"/>
      <c r="E6" s="96" t="s">
        <v>125</v>
      </c>
      <c r="F6" s="315" t="s">
        <v>244</v>
      </c>
      <c r="G6" s="316"/>
      <c r="H6" s="316"/>
      <c r="I6" s="316"/>
      <c r="J6" s="316"/>
      <c r="K6" s="316"/>
      <c r="L6" s="316"/>
      <c r="M6" s="317"/>
      <c r="N6" s="9"/>
      <c r="O6" s="9"/>
      <c r="P6" s="8"/>
      <c r="Q6" s="1"/>
    </row>
    <row r="7" spans="1:17" ht="17.25" thickBot="1" x14ac:dyDescent="0.35">
      <c r="A7" s="1"/>
      <c r="B7" s="5"/>
      <c r="C7" s="6"/>
      <c r="D7" s="6"/>
      <c r="E7" s="10"/>
      <c r="F7" s="9"/>
      <c r="G7" s="9"/>
      <c r="H7" s="9"/>
      <c r="I7" s="9"/>
      <c r="J7" s="9"/>
      <c r="K7" s="9"/>
      <c r="L7" s="9"/>
      <c r="M7" s="6"/>
      <c r="N7" s="6"/>
      <c r="O7" s="6"/>
      <c r="P7" s="8"/>
      <c r="Q7" s="1"/>
    </row>
    <row r="8" spans="1:17" ht="97.5" customHeight="1" thickBot="1" x14ac:dyDescent="0.3">
      <c r="A8" s="1"/>
      <c r="B8" s="5"/>
      <c r="C8" s="6"/>
      <c r="D8" s="6"/>
      <c r="E8" s="6"/>
      <c r="F8" s="6"/>
      <c r="G8" s="6"/>
      <c r="H8" s="6"/>
      <c r="I8" s="318" t="s">
        <v>126</v>
      </c>
      <c r="J8" s="319"/>
      <c r="K8" s="320"/>
      <c r="L8" s="6"/>
      <c r="M8" s="149">
        <f>+AVERAGE(G26,G28,G30,G32,G34)</f>
        <v>0.76380952380952372</v>
      </c>
      <c r="N8" s="11"/>
      <c r="O8" s="11"/>
      <c r="P8" s="8"/>
      <c r="Q8" s="1"/>
    </row>
    <row r="9" spans="1:17" ht="15.75" x14ac:dyDescent="0.25">
      <c r="A9" s="1"/>
      <c r="B9" s="5"/>
      <c r="C9" s="6"/>
      <c r="D9" s="6"/>
      <c r="E9" s="6"/>
      <c r="F9" s="6"/>
      <c r="G9" s="6"/>
      <c r="H9" s="6"/>
      <c r="I9" s="6"/>
      <c r="J9" s="6"/>
      <c r="K9" s="6"/>
      <c r="L9" s="6"/>
      <c r="M9" s="12"/>
      <c r="N9" s="12"/>
      <c r="O9" s="12"/>
      <c r="P9" s="8"/>
      <c r="Q9" s="1"/>
    </row>
    <row r="10" spans="1:17" x14ac:dyDescent="0.25">
      <c r="A10" s="1"/>
      <c r="B10" s="5"/>
      <c r="C10" s="6"/>
      <c r="D10" s="6"/>
      <c r="E10" s="6"/>
      <c r="F10" s="6"/>
      <c r="G10" s="6"/>
      <c r="H10" s="6"/>
      <c r="I10" s="6"/>
      <c r="J10" s="6"/>
      <c r="K10" s="6"/>
      <c r="L10" s="6"/>
      <c r="M10" s="6"/>
      <c r="N10" s="6"/>
      <c r="O10" s="6"/>
      <c r="P10" s="8"/>
      <c r="Q10" s="1"/>
    </row>
    <row r="11" spans="1:17" x14ac:dyDescent="0.25">
      <c r="A11" s="1"/>
      <c r="B11" s="5"/>
      <c r="C11" s="6"/>
      <c r="D11" s="6"/>
      <c r="E11" s="6"/>
      <c r="F11" s="6"/>
      <c r="G11" s="6"/>
      <c r="H11" s="6"/>
      <c r="I11" s="6"/>
      <c r="J11" s="6"/>
      <c r="K11" s="6"/>
      <c r="L11" s="6"/>
      <c r="M11" s="6"/>
      <c r="N11" s="6"/>
      <c r="O11" s="6"/>
      <c r="P11" s="8"/>
      <c r="Q11" s="1"/>
    </row>
    <row r="12" spans="1:17" x14ac:dyDescent="0.25">
      <c r="A12" s="1"/>
      <c r="B12" s="5"/>
      <c r="C12" s="6"/>
      <c r="D12" s="6"/>
      <c r="E12" s="6"/>
      <c r="F12" s="6"/>
      <c r="G12" s="6"/>
      <c r="H12" s="6"/>
      <c r="I12" s="6"/>
      <c r="J12" s="6"/>
      <c r="K12" s="6"/>
      <c r="L12" s="6"/>
      <c r="M12" s="6"/>
      <c r="N12" s="6"/>
      <c r="O12" s="6"/>
      <c r="P12" s="8"/>
      <c r="Q12" s="1"/>
    </row>
    <row r="13" spans="1:17" x14ac:dyDescent="0.25">
      <c r="A13" s="1"/>
      <c r="B13" s="5"/>
      <c r="C13" s="6"/>
      <c r="D13" s="6"/>
      <c r="E13" s="6"/>
      <c r="F13" s="6"/>
      <c r="G13" s="6"/>
      <c r="H13" s="6"/>
      <c r="I13" s="6"/>
      <c r="J13" s="6"/>
      <c r="K13" s="6"/>
      <c r="L13" s="6"/>
      <c r="M13" s="6"/>
      <c r="N13" s="6"/>
      <c r="O13" s="6"/>
      <c r="P13" s="8"/>
      <c r="Q13" s="1"/>
    </row>
    <row r="14" spans="1:17" x14ac:dyDescent="0.25">
      <c r="A14" s="1"/>
      <c r="B14" s="5"/>
      <c r="C14" s="6"/>
      <c r="D14" s="6"/>
      <c r="E14" s="6"/>
      <c r="F14" s="6"/>
      <c r="G14" s="6"/>
      <c r="H14" s="6"/>
      <c r="I14" s="6"/>
      <c r="J14" s="6"/>
      <c r="K14" s="6"/>
      <c r="L14" s="6"/>
      <c r="M14" s="6"/>
      <c r="N14" s="6"/>
      <c r="O14" s="6"/>
      <c r="P14" s="8"/>
      <c r="Q14" s="1"/>
    </row>
    <row r="15" spans="1:17" x14ac:dyDescent="0.25">
      <c r="A15" s="1"/>
      <c r="B15" s="5"/>
      <c r="C15" s="6"/>
      <c r="D15" s="6"/>
      <c r="E15" s="6"/>
      <c r="F15" s="6"/>
      <c r="G15" s="6"/>
      <c r="H15" s="6"/>
      <c r="I15" s="6"/>
      <c r="J15" s="6"/>
      <c r="K15" s="6"/>
      <c r="L15" s="6"/>
      <c r="M15" s="6"/>
      <c r="N15" s="6"/>
      <c r="O15" s="6"/>
      <c r="P15" s="8"/>
      <c r="Q15" s="1"/>
    </row>
    <row r="16" spans="1:17" x14ac:dyDescent="0.25">
      <c r="A16" s="1"/>
      <c r="B16" s="5"/>
      <c r="C16" s="6"/>
      <c r="D16" s="6"/>
      <c r="E16" s="6"/>
      <c r="F16" s="6"/>
      <c r="G16" s="6"/>
      <c r="H16" s="6"/>
      <c r="I16" s="6"/>
      <c r="J16" s="6"/>
      <c r="K16" s="6"/>
      <c r="L16" s="6"/>
      <c r="M16" s="6"/>
      <c r="N16" s="6"/>
      <c r="O16" s="6"/>
      <c r="P16" s="8"/>
      <c r="Q16" s="1"/>
    </row>
    <row r="17" spans="1:17" x14ac:dyDescent="0.25">
      <c r="A17" s="1"/>
      <c r="B17" s="5"/>
      <c r="C17" s="6"/>
      <c r="D17" s="6"/>
      <c r="E17" s="6"/>
      <c r="F17" s="6"/>
      <c r="G17" s="6"/>
      <c r="H17" s="6"/>
      <c r="I17" s="6"/>
      <c r="J17" s="6"/>
      <c r="K17" s="6"/>
      <c r="L17" s="6"/>
      <c r="M17" s="6"/>
      <c r="N17" s="6"/>
      <c r="O17" s="6"/>
      <c r="P17" s="8"/>
      <c r="Q17" s="1"/>
    </row>
    <row r="18" spans="1:17" ht="23.25" x14ac:dyDescent="0.25">
      <c r="A18" s="1"/>
      <c r="B18" s="5"/>
      <c r="C18" s="321" t="s">
        <v>127</v>
      </c>
      <c r="D18" s="322"/>
      <c r="E18" s="322"/>
      <c r="F18" s="322"/>
      <c r="G18" s="322"/>
      <c r="H18" s="322"/>
      <c r="I18" s="322"/>
      <c r="J18" s="322"/>
      <c r="K18" s="322"/>
      <c r="L18" s="322"/>
      <c r="M18" s="323"/>
      <c r="N18" s="13"/>
      <c r="O18" s="13"/>
      <c r="P18" s="8"/>
      <c r="Q18" s="1"/>
    </row>
    <row r="19" spans="1:17" ht="16.5" thickBot="1" x14ac:dyDescent="0.3">
      <c r="A19" s="1"/>
      <c r="B19" s="5"/>
      <c r="C19" s="14"/>
      <c r="D19" s="14"/>
      <c r="E19" s="14"/>
      <c r="F19" s="14"/>
      <c r="G19" s="14"/>
      <c r="H19" s="14"/>
      <c r="I19" s="14"/>
      <c r="J19" s="14"/>
      <c r="K19" s="14"/>
      <c r="L19" s="14"/>
      <c r="M19" s="14"/>
      <c r="N19" s="15"/>
      <c r="O19" s="15"/>
      <c r="P19" s="8"/>
      <c r="Q19" s="1"/>
    </row>
    <row r="20" spans="1:17" ht="150" customHeight="1" x14ac:dyDescent="0.25">
      <c r="A20" s="1"/>
      <c r="B20" s="5"/>
      <c r="C20" s="324" t="s">
        <v>128</v>
      </c>
      <c r="D20" s="325"/>
      <c r="E20" s="152" t="s">
        <v>76</v>
      </c>
      <c r="F20" s="326" t="s">
        <v>237</v>
      </c>
      <c r="G20" s="326"/>
      <c r="H20" s="326"/>
      <c r="I20" s="326"/>
      <c r="J20" s="326"/>
      <c r="K20" s="326"/>
      <c r="L20" s="326"/>
      <c r="M20" s="327"/>
      <c r="N20" s="15"/>
      <c r="O20" s="15"/>
      <c r="P20" s="8"/>
      <c r="Q20" s="1"/>
    </row>
    <row r="21" spans="1:17" ht="153" customHeight="1" x14ac:dyDescent="0.25">
      <c r="A21" s="1"/>
      <c r="B21" s="5"/>
      <c r="C21" s="308" t="s">
        <v>129</v>
      </c>
      <c r="D21" s="309"/>
      <c r="E21" s="153" t="s">
        <v>36</v>
      </c>
      <c r="F21" s="328" t="s">
        <v>236</v>
      </c>
      <c r="G21" s="329"/>
      <c r="H21" s="329"/>
      <c r="I21" s="329"/>
      <c r="J21" s="329"/>
      <c r="K21" s="329"/>
      <c r="L21" s="329"/>
      <c r="M21" s="330"/>
      <c r="N21" s="15"/>
      <c r="O21" s="15"/>
      <c r="P21" s="8"/>
      <c r="Q21" s="1"/>
    </row>
    <row r="22" spans="1:17" ht="160.5" customHeight="1" thickBot="1" x14ac:dyDescent="0.3">
      <c r="A22" s="1"/>
      <c r="B22" s="5"/>
      <c r="C22" s="310" t="s">
        <v>130</v>
      </c>
      <c r="D22" s="311"/>
      <c r="E22" s="154" t="s">
        <v>36</v>
      </c>
      <c r="F22" s="331" t="s">
        <v>235</v>
      </c>
      <c r="G22" s="331"/>
      <c r="H22" s="331"/>
      <c r="I22" s="331"/>
      <c r="J22" s="331"/>
      <c r="K22" s="331"/>
      <c r="L22" s="331"/>
      <c r="M22" s="332"/>
      <c r="N22" s="15"/>
      <c r="O22" s="15"/>
      <c r="P22" s="8"/>
      <c r="Q22" s="1"/>
    </row>
    <row r="23" spans="1:17" x14ac:dyDescent="0.25">
      <c r="A23" s="1"/>
      <c r="B23" s="5"/>
      <c r="C23" s="6"/>
      <c r="D23" s="6"/>
      <c r="E23" s="6"/>
      <c r="F23" s="6"/>
      <c r="G23" s="16"/>
      <c r="H23" s="6"/>
      <c r="I23" s="6"/>
      <c r="J23" s="6"/>
      <c r="K23" s="6"/>
      <c r="L23" s="6"/>
      <c r="M23" s="6"/>
      <c r="N23" s="6"/>
      <c r="O23" s="6"/>
      <c r="P23" s="8"/>
      <c r="Q23" s="1"/>
    </row>
    <row r="24" spans="1:17" ht="78.75" x14ac:dyDescent="0.25">
      <c r="A24" s="1"/>
      <c r="B24" s="5"/>
      <c r="C24" s="99" t="s">
        <v>131</v>
      </c>
      <c r="D24" s="100"/>
      <c r="E24" s="99" t="s">
        <v>132</v>
      </c>
      <c r="F24" s="100"/>
      <c r="G24" s="99" t="s">
        <v>133</v>
      </c>
      <c r="H24" s="100"/>
      <c r="I24" s="300" t="s">
        <v>134</v>
      </c>
      <c r="J24" s="300"/>
      <c r="K24" s="300"/>
      <c r="L24" s="300"/>
      <c r="M24" s="300"/>
      <c r="N24" s="33"/>
      <c r="O24" s="33"/>
      <c r="P24" s="8"/>
      <c r="Q24" s="17"/>
    </row>
    <row r="25" spans="1:17" ht="13.5" customHeight="1" thickBot="1" x14ac:dyDescent="0.3">
      <c r="A25" s="1"/>
      <c r="B25" s="5"/>
      <c r="C25" s="32"/>
      <c r="D25" s="18"/>
      <c r="E25" s="18"/>
      <c r="F25" s="18"/>
      <c r="G25" s="18"/>
      <c r="H25" s="18"/>
      <c r="I25" s="306"/>
      <c r="J25" s="306"/>
      <c r="K25" s="306"/>
      <c r="L25" s="306"/>
      <c r="M25" s="306"/>
      <c r="N25" s="34"/>
      <c r="O25" s="34"/>
      <c r="P25" s="8"/>
      <c r="Q25" s="1"/>
    </row>
    <row r="26" spans="1:17" ht="155.25" customHeight="1" thickBot="1" x14ac:dyDescent="0.3">
      <c r="A26" s="1"/>
      <c r="B26" s="5"/>
      <c r="C26" s="90" t="s">
        <v>32</v>
      </c>
      <c r="D26" s="19"/>
      <c r="E26" s="150" t="str">
        <f>+IF(Hoja1!K2&gt;=0.5,"Si","No")</f>
        <v>Si</v>
      </c>
      <c r="F26" s="20"/>
      <c r="G26" s="151">
        <f>+Hoja1!K2</f>
        <v>0.83333333333333337</v>
      </c>
      <c r="H26" s="20"/>
      <c r="I26" s="301" t="s">
        <v>238</v>
      </c>
      <c r="J26" s="302"/>
      <c r="K26" s="302"/>
      <c r="L26" s="302"/>
      <c r="M26" s="303"/>
      <c r="N26" s="35"/>
      <c r="O26" s="36"/>
      <c r="P26" s="21"/>
      <c r="Q26" s="22"/>
    </row>
    <row r="27" spans="1:17" ht="27" thickBot="1" x14ac:dyDescent="0.45">
      <c r="A27" s="1"/>
      <c r="B27" s="5"/>
      <c r="C27" s="91"/>
      <c r="D27" s="23"/>
      <c r="E27" s="98"/>
      <c r="F27" s="18"/>
      <c r="G27" s="24"/>
      <c r="H27" s="18"/>
      <c r="I27" s="307"/>
      <c r="J27" s="307"/>
      <c r="K27" s="307"/>
      <c r="L27" s="307"/>
      <c r="M27" s="307"/>
      <c r="N27" s="37"/>
      <c r="O27" s="37"/>
      <c r="P27" s="8"/>
      <c r="Q27" s="1"/>
    </row>
    <row r="28" spans="1:17" ht="149.25" customHeight="1" thickBot="1" x14ac:dyDescent="0.4">
      <c r="A28" s="1"/>
      <c r="B28" s="5"/>
      <c r="C28" s="92" t="s">
        <v>135</v>
      </c>
      <c r="D28" s="19"/>
      <c r="E28" s="150" t="str">
        <f>+IF(Hoja1!K14&gt;=0.5,"Si","No")</f>
        <v>Si</v>
      </c>
      <c r="F28" s="18"/>
      <c r="G28" s="151">
        <f>+Hoja1!K14</f>
        <v>0.7</v>
      </c>
      <c r="H28" s="18"/>
      <c r="I28" s="297" t="s">
        <v>239</v>
      </c>
      <c r="J28" s="304"/>
      <c r="K28" s="304"/>
      <c r="L28" s="304"/>
      <c r="M28" s="305"/>
      <c r="N28" s="35"/>
      <c r="O28" s="35"/>
      <c r="P28" s="8"/>
      <c r="Q28" s="1"/>
    </row>
    <row r="29" spans="1:17" ht="34.5" customHeight="1" thickBot="1" x14ac:dyDescent="0.45">
      <c r="A29" s="1"/>
      <c r="B29" s="5"/>
      <c r="C29" s="91"/>
      <c r="D29" s="23"/>
      <c r="E29" s="98"/>
      <c r="F29" s="18"/>
      <c r="G29" s="24"/>
      <c r="H29" s="18"/>
      <c r="I29" s="307"/>
      <c r="J29" s="307"/>
      <c r="K29" s="307"/>
      <c r="L29" s="307"/>
      <c r="M29" s="307"/>
      <c r="N29" s="37"/>
      <c r="O29" s="37"/>
      <c r="P29" s="8"/>
      <c r="Q29" s="1"/>
    </row>
    <row r="30" spans="1:17" ht="123" customHeight="1" thickBot="1" x14ac:dyDescent="0.4">
      <c r="A30" s="1"/>
      <c r="B30" s="5"/>
      <c r="C30" s="93" t="s">
        <v>136</v>
      </c>
      <c r="D30" s="19"/>
      <c r="E30" s="150" t="str">
        <f>+IF(Hoja1!K24&gt;=0.5,"Si","No")</f>
        <v>Si</v>
      </c>
      <c r="F30" s="18"/>
      <c r="G30" s="151">
        <f>+Hoja1!K24</f>
        <v>0.9</v>
      </c>
      <c r="H30" s="18"/>
      <c r="I30" s="297" t="s">
        <v>240</v>
      </c>
      <c r="J30" s="298"/>
      <c r="K30" s="298"/>
      <c r="L30" s="298"/>
      <c r="M30" s="299"/>
      <c r="N30" s="35"/>
      <c r="O30" s="35"/>
      <c r="P30" s="8"/>
      <c r="Q30" s="1"/>
    </row>
    <row r="31" spans="1:17" ht="27" thickBot="1" x14ac:dyDescent="0.45">
      <c r="A31" s="1"/>
      <c r="B31" s="5"/>
      <c r="C31" s="91"/>
      <c r="D31" s="23"/>
      <c r="E31" s="98"/>
      <c r="F31" s="18"/>
      <c r="G31" s="24"/>
      <c r="H31" s="18"/>
      <c r="I31" s="307"/>
      <c r="J31" s="307"/>
      <c r="K31" s="307"/>
      <c r="L31" s="307"/>
      <c r="M31" s="307"/>
      <c r="N31" s="37"/>
      <c r="O31" s="37"/>
      <c r="P31" s="8"/>
      <c r="Q31" s="1"/>
    </row>
    <row r="32" spans="1:17" ht="171" customHeight="1" thickBot="1" x14ac:dyDescent="0.4">
      <c r="A32" s="1"/>
      <c r="B32" s="5"/>
      <c r="C32" s="94" t="s">
        <v>87</v>
      </c>
      <c r="D32" s="19"/>
      <c r="E32" s="150" t="str">
        <f>+IF(Hoja1!K29&gt;=0.5,"Si","No")</f>
        <v>Si</v>
      </c>
      <c r="F32" s="18"/>
      <c r="G32" s="151">
        <f>+Hoja1!K29</f>
        <v>0.7857142857142857</v>
      </c>
      <c r="H32" s="18"/>
      <c r="I32" s="297" t="s">
        <v>241</v>
      </c>
      <c r="J32" s="298"/>
      <c r="K32" s="298"/>
      <c r="L32" s="298"/>
      <c r="M32" s="299"/>
      <c r="N32" s="35"/>
      <c r="O32" s="35"/>
      <c r="P32" s="8"/>
      <c r="Q32" s="1"/>
    </row>
    <row r="33" spans="1:17" ht="27" thickBot="1" x14ac:dyDescent="0.45">
      <c r="A33" s="1"/>
      <c r="B33" s="5"/>
      <c r="C33" s="91"/>
      <c r="D33" s="23"/>
      <c r="E33" s="98"/>
      <c r="F33" s="18"/>
      <c r="G33" s="24"/>
      <c r="H33" s="18"/>
      <c r="I33" s="307"/>
      <c r="J33" s="307"/>
      <c r="K33" s="307"/>
      <c r="L33" s="307"/>
      <c r="M33" s="307"/>
      <c r="N33" s="37"/>
      <c r="O33" s="37"/>
      <c r="P33" s="8"/>
      <c r="Q33" s="1"/>
    </row>
    <row r="34" spans="1:17" ht="164.25" customHeight="1" thickBot="1" x14ac:dyDescent="0.4">
      <c r="A34" s="1"/>
      <c r="B34" s="5"/>
      <c r="C34" s="95" t="s">
        <v>137</v>
      </c>
      <c r="D34" s="19"/>
      <c r="E34" s="97" t="str">
        <f>+IF(Hoja1!K36&gt;=0.5,"Si","No")</f>
        <v>Si</v>
      </c>
      <c r="F34" s="18"/>
      <c r="G34" s="151">
        <f>+Hoja1!K36</f>
        <v>0.6</v>
      </c>
      <c r="H34" s="18"/>
      <c r="I34" s="297" t="s">
        <v>242</v>
      </c>
      <c r="J34" s="298"/>
      <c r="K34" s="298"/>
      <c r="L34" s="298"/>
      <c r="M34" s="299"/>
      <c r="N34" s="35"/>
      <c r="O34" s="35"/>
      <c r="P34" s="8"/>
      <c r="Q34" s="1"/>
    </row>
    <row r="35" spans="1:17" ht="15.75" x14ac:dyDescent="0.25">
      <c r="A35" s="1"/>
      <c r="B35" s="5"/>
      <c r="C35" s="25"/>
      <c r="D35" s="25"/>
      <c r="E35" s="15"/>
      <c r="F35" s="6"/>
      <c r="G35" s="6"/>
      <c r="H35" s="6"/>
      <c r="I35" s="6"/>
      <c r="J35" s="6"/>
      <c r="K35" s="6"/>
      <c r="L35" s="6"/>
      <c r="M35" s="26"/>
      <c r="N35" s="26"/>
      <c r="O35" s="26"/>
      <c r="P35" s="8"/>
      <c r="Q35" s="1"/>
    </row>
    <row r="36" spans="1:17" ht="15.75" x14ac:dyDescent="0.25">
      <c r="A36" s="1"/>
      <c r="B36" s="5"/>
      <c r="C36" s="27"/>
      <c r="D36" s="25"/>
      <c r="E36" s="15"/>
      <c r="F36" s="6"/>
      <c r="G36" s="6"/>
      <c r="H36" s="6"/>
      <c r="I36" s="6"/>
      <c r="J36" s="6"/>
      <c r="K36" s="6"/>
      <c r="L36" s="6"/>
      <c r="M36" s="26"/>
      <c r="N36" s="26"/>
      <c r="O36" s="26"/>
      <c r="P36" s="8"/>
      <c r="Q36" s="1"/>
    </row>
    <row r="37" spans="1:17" x14ac:dyDescent="0.25">
      <c r="A37" s="1"/>
      <c r="B37" s="5"/>
      <c r="C37" s="28"/>
      <c r="D37" s="6"/>
      <c r="E37" s="6"/>
      <c r="F37" s="6"/>
      <c r="G37" s="6"/>
      <c r="H37" s="6"/>
      <c r="I37" s="6"/>
      <c r="J37" s="6"/>
      <c r="K37" s="6"/>
      <c r="L37" s="6"/>
      <c r="M37" s="6"/>
      <c r="N37" s="6"/>
      <c r="O37" s="6"/>
      <c r="P37" s="8"/>
      <c r="Q37" s="1"/>
    </row>
    <row r="38" spans="1:17" ht="15.75" thickBot="1" x14ac:dyDescent="0.3">
      <c r="A38" s="1"/>
      <c r="B38" s="29"/>
      <c r="C38" s="30"/>
      <c r="D38" s="30"/>
      <c r="E38" s="30"/>
      <c r="F38" s="30"/>
      <c r="G38" s="30"/>
      <c r="H38" s="30"/>
      <c r="I38" s="30"/>
      <c r="J38" s="30"/>
      <c r="K38" s="30"/>
      <c r="L38" s="30"/>
      <c r="M38" s="30"/>
      <c r="N38" s="30"/>
      <c r="O38" s="30"/>
      <c r="P38" s="31"/>
      <c r="Q38" s="1"/>
    </row>
    <row r="39" spans="1:17" ht="15.75" thickTop="1" x14ac:dyDescent="0.25">
      <c r="A39" s="1"/>
      <c r="B39" s="1"/>
      <c r="C39" s="1"/>
      <c r="D39" s="1"/>
      <c r="E39" s="1"/>
      <c r="F39" s="1"/>
      <c r="G39" s="1"/>
      <c r="H39" s="1"/>
      <c r="I39" s="1"/>
      <c r="J39" s="1"/>
      <c r="K39" s="1"/>
      <c r="L39" s="1"/>
      <c r="M39" s="1"/>
      <c r="N39" s="1"/>
      <c r="O39" s="1"/>
      <c r="P39" s="1"/>
      <c r="Q39" s="1"/>
    </row>
    <row r="40" spans="1:17" x14ac:dyDescent="0.25">
      <c r="A40" s="1"/>
      <c r="B40" s="1"/>
      <c r="C40" s="1"/>
      <c r="D40" s="1"/>
      <c r="E40" s="1"/>
      <c r="F40" s="1"/>
      <c r="G40" s="1"/>
      <c r="H40" s="1"/>
      <c r="I40" s="1"/>
      <c r="J40" s="1"/>
      <c r="K40" s="1"/>
      <c r="L40" s="1"/>
      <c r="M40" s="1"/>
      <c r="N40" s="1"/>
      <c r="O40" s="1"/>
      <c r="P40" s="1"/>
      <c r="Q40" s="1"/>
    </row>
    <row r="41" spans="1:17" x14ac:dyDescent="0.25">
      <c r="A41" s="1"/>
      <c r="B41" s="1"/>
      <c r="C41" s="1"/>
      <c r="D41" s="1"/>
      <c r="E41" s="1"/>
      <c r="F41" s="1"/>
      <c r="G41" s="1"/>
      <c r="H41" s="1"/>
      <c r="I41" s="1"/>
      <c r="J41" s="1"/>
      <c r="K41" s="1"/>
      <c r="L41" s="1"/>
      <c r="M41" s="1"/>
      <c r="N41" s="1"/>
      <c r="O41" s="1"/>
      <c r="P41" s="1"/>
      <c r="Q41" s="1"/>
    </row>
  </sheetData>
  <sheetProtection algorithmName="SHA-512" hashValue="mur5Q3PEaZxn8LXLz/eSymodHMyMcb7gr8gXWBwpSU/m7uV0ZPVWkcKOdJlg0OS/SXBXX9P/iBb2vTO1mWy68A==" saltValue="abZlHLcGIMQMz4F8z7vkTw==" spinCount="100000" sheet="1" objects="1" scenarios="1" formatCells="0" formatRows="0"/>
  <mergeCells count="22">
    <mergeCell ref="C21:D21"/>
    <mergeCell ref="C22:D22"/>
    <mergeCell ref="E4:E5"/>
    <mergeCell ref="F4:M5"/>
    <mergeCell ref="F6:M6"/>
    <mergeCell ref="I8:K8"/>
    <mergeCell ref="C18:M18"/>
    <mergeCell ref="C20:D20"/>
    <mergeCell ref="F20:M20"/>
    <mergeCell ref="F21:M21"/>
    <mergeCell ref="F22:M22"/>
    <mergeCell ref="I34:M34"/>
    <mergeCell ref="I30:M30"/>
    <mergeCell ref="I32:M32"/>
    <mergeCell ref="I24:M24"/>
    <mergeCell ref="I26:M26"/>
    <mergeCell ref="I28:M28"/>
    <mergeCell ref="I25:M25"/>
    <mergeCell ref="I27:M27"/>
    <mergeCell ref="I29:M29"/>
    <mergeCell ref="I31:M31"/>
    <mergeCell ref="I33:M33"/>
  </mergeCells>
  <conditionalFormatting sqref="G26 G28 G30 G32 G34">
    <cfRule type="cellIs" priority="4" operator="between">
      <formula>0.75</formula>
      <formula>1</formula>
    </cfRule>
    <cfRule type="cellIs" dxfId="11" priority="5" operator="between">
      <formula>0.5</formula>
      <formula>0.75</formula>
    </cfRule>
    <cfRule type="cellIs" dxfId="10" priority="6" operator="between">
      <formula>0</formula>
      <formula>0.49</formula>
    </cfRule>
    <cfRule type="cellIs" dxfId="9" priority="31" operator="between">
      <formula>0.76</formula>
      <formula>1</formula>
    </cfRule>
    <cfRule type="cellIs" dxfId="8" priority="32" operator="between">
      <formula>0.51</formula>
      <formula>0.75</formula>
    </cfRule>
    <cfRule type="cellIs" dxfId="7" priority="33" operator="between">
      <formula>0.26</formula>
      <formula>0.5</formula>
    </cfRule>
  </conditionalFormatting>
  <conditionalFormatting sqref="M8">
    <cfRule type="cellIs" dxfId="6" priority="1" operator="between">
      <formula>0.75</formula>
      <formula>1</formula>
    </cfRule>
    <cfRule type="cellIs" dxfId="5" priority="2" operator="between">
      <formula>0.5</formula>
      <formula>0.75</formula>
    </cfRule>
    <cfRule type="cellIs" dxfId="4" priority="3" operator="between">
      <formula>0</formula>
      <formula>0.49</formula>
    </cfRule>
    <cfRule type="cellIs" priority="27" operator="between">
      <formula>0.76</formula>
      <formula>1</formula>
    </cfRule>
    <cfRule type="cellIs" dxfId="3" priority="28" operator="between">
      <formula>0.51</formula>
      <formula>0.75</formula>
    </cfRule>
    <cfRule type="cellIs" dxfId="2" priority="29" operator="between">
      <formula>0.26</formula>
      <formula>0.5</formula>
    </cfRule>
    <cfRule type="cellIs" dxfId="1" priority="30" operator="between">
      <formula>0</formula>
      <formula>0.25</formula>
    </cfRule>
  </conditionalFormatting>
  <dataValidations count="3">
    <dataValidation type="list" allowBlank="1" showInputMessage="1" showErrorMessage="1" sqref="E21:E22">
      <formula1>"Si, No"</formula1>
    </dataValidation>
    <dataValidation allowBlank="1" showInputMessage="1" showErrorMessage="1" prompt="Celda formulada, información proveniente de la pestaña de deficiencias." sqref="E24"/>
    <dataValidation type="list" allowBlank="1" showInputMessage="1" showErrorMessage="1" sqref="E20">
      <formula1>"Si,En proceso,No"</formula1>
    </dataValidation>
  </dataValidations>
  <pageMargins left="0.7" right="0.7" top="0.75" bottom="0.75" header="0.3" footer="0.3"/>
  <pageSetup orientation="portrait" horizontalDpi="300" verticalDpi="300" r:id="rId1"/>
  <drawing r:id="rId2"/>
  <extLst>
    <ext xmlns:x14="http://schemas.microsoft.com/office/spreadsheetml/2009/9/main" uri="{78C0D931-6437-407d-A8EE-F0AAD7539E65}">
      <x14:conditionalFormattings>
        <x14:conditionalFormatting xmlns:xm="http://schemas.microsoft.com/office/excel/2006/main">
          <x14:cfRule type="cellIs" priority="34" operator="between" id="{7ADAD4B9-72C7-4518-BD8A-A7D8DD349CD9}">
            <xm:f>0</xm:f>
            <xm:f>'\Users\dell\Desktop\cesar\HISTORICOS\[2020-04-22_Formato_informe_sci_parametrizado_final.xlsx]Analisis de Resultados'!#REF!</xm:f>
            <x14:dxf>
              <fill>
                <patternFill>
                  <bgColor rgb="FFFF0000"/>
                </patternFill>
              </fill>
            </x14:dxf>
          </x14:cfRule>
          <xm:sqref>G26 G28 G30 G32 G34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election activeCell="F2" sqref="F2"/>
    </sheetView>
  </sheetViews>
  <sheetFormatPr baseColWidth="10" defaultColWidth="11.42578125" defaultRowHeight="15" x14ac:dyDescent="0.25"/>
  <cols>
    <col min="2" max="2" width="31" bestFit="1" customWidth="1"/>
    <col min="3" max="3" width="17.140625" customWidth="1"/>
    <col min="5" max="5" width="15.140625" customWidth="1"/>
    <col min="10" max="10" width="15.7109375" customWidth="1"/>
    <col min="11" max="11" width="12" bestFit="1" customWidth="1"/>
  </cols>
  <sheetData>
    <row r="1" spans="1:11" ht="84.75" customHeight="1" x14ac:dyDescent="0.25">
      <c r="A1" s="155" t="s">
        <v>25</v>
      </c>
      <c r="B1" s="155" t="s">
        <v>6</v>
      </c>
      <c r="C1" s="156" t="s">
        <v>8</v>
      </c>
      <c r="D1" s="157" t="s">
        <v>26</v>
      </c>
      <c r="E1" s="157" t="s">
        <v>27</v>
      </c>
      <c r="F1" s="157" t="s">
        <v>138</v>
      </c>
      <c r="G1" s="158" t="s">
        <v>139</v>
      </c>
      <c r="H1" s="158" t="s">
        <v>140</v>
      </c>
      <c r="I1" s="158" t="s">
        <v>119</v>
      </c>
      <c r="J1" s="158" t="s">
        <v>141</v>
      </c>
      <c r="K1" s="158" t="s">
        <v>142</v>
      </c>
    </row>
    <row r="2" spans="1:11" x14ac:dyDescent="0.25">
      <c r="A2" s="159" t="s">
        <v>143</v>
      </c>
      <c r="B2" s="159" t="str">
        <f>+VLOOKUP(A2,'Estado SCI'!$A$16:$C$59,3,0)</f>
        <v>AMBIENTE DE CONTROL</v>
      </c>
      <c r="C2" s="159" t="s">
        <v>33</v>
      </c>
      <c r="D2" s="159" t="s">
        <v>34</v>
      </c>
      <c r="E2" s="159" t="s">
        <v>35</v>
      </c>
      <c r="F2" s="159" t="str">
        <f>+VLOOKUP(A2,'Estado SCI'!$A$16:$I$59,9,0)</f>
        <v>Mantenimiento del control</v>
      </c>
      <c r="G2" s="159">
        <f>+VLOOKUP(A2,'Estado SCI'!$A$16:$L$59,12,0)</f>
        <v>20.123000000000001</v>
      </c>
      <c r="H2" s="159">
        <f t="shared" ref="H2:H45" si="0">+_xlfn.RANK.EQ(G2,$G$2:$G$45,1)</f>
        <v>5</v>
      </c>
      <c r="I2" s="159" t="str">
        <f>+IF(VLOOKUP(A2,'Estado SCI'!$A$16:$G$59,7,0)="","",VLOOKUP(A2,'Estado SCI'!$A$16:$G$59,7,0))</f>
        <v>Si</v>
      </c>
      <c r="J2" s="160">
        <f>+IF(I2="Si",1,IF(I2="En proceso",0.5,0))</f>
        <v>1</v>
      </c>
      <c r="K2" s="161">
        <f t="shared" ref="K2:K45" si="1">+AVERAGEIF($B$2:$B$45,B2,$J$2:$J$45)</f>
        <v>0.83333333333333337</v>
      </c>
    </row>
    <row r="3" spans="1:11" x14ac:dyDescent="0.25">
      <c r="A3" s="159" t="s">
        <v>144</v>
      </c>
      <c r="B3" s="159" t="s">
        <v>32</v>
      </c>
      <c r="C3" s="159" t="s">
        <v>33</v>
      </c>
      <c r="D3" s="159" t="s">
        <v>37</v>
      </c>
      <c r="E3" s="159" t="s">
        <v>38</v>
      </c>
      <c r="F3" s="159" t="str">
        <f>+VLOOKUP(A3,'Estado SCI'!$A$16:$I$59,9,0)</f>
        <v>Mantenimiento del control</v>
      </c>
      <c r="G3" s="159">
        <f>+VLOOKUP(A3,'Estado SCI'!$A$16:$L$59,12,0)</f>
        <v>20.1234</v>
      </c>
      <c r="H3" s="159">
        <f t="shared" si="0"/>
        <v>6</v>
      </c>
      <c r="I3" s="159" t="str">
        <f>+IF(VLOOKUP(A3,'Estado SCI'!$A$16:$G$59,7,0)="","",VLOOKUP(A3,'Estado SCI'!$A$16:$G$59,7,0))</f>
        <v>Si</v>
      </c>
      <c r="J3" s="160">
        <f t="shared" ref="J3:J45" si="2">+IF(I3="Si",1,IF(I3="En proceso",0.5,0))</f>
        <v>1</v>
      </c>
      <c r="K3" s="161">
        <f t="shared" si="1"/>
        <v>0.83333333333333337</v>
      </c>
    </row>
    <row r="4" spans="1:11" x14ac:dyDescent="0.25">
      <c r="A4" s="159" t="s">
        <v>145</v>
      </c>
      <c r="B4" s="159" t="s">
        <v>32</v>
      </c>
      <c r="C4" s="159" t="s">
        <v>33</v>
      </c>
      <c r="D4" s="159" t="s">
        <v>40</v>
      </c>
      <c r="E4" s="159" t="s">
        <v>41</v>
      </c>
      <c r="F4" s="159" t="str">
        <f>+VLOOKUP(A4,'Estado SCI'!$A$16:$I$59,9,0)</f>
        <v>Mantenimiento del control</v>
      </c>
      <c r="G4" s="159">
        <f>+VLOOKUP(A4,'Estado SCI'!$A$16:$L$59,12,0)</f>
        <v>20.123449999999998</v>
      </c>
      <c r="H4" s="159">
        <f t="shared" si="0"/>
        <v>7</v>
      </c>
      <c r="I4" s="159" t="str">
        <f>+IF(VLOOKUP(A4,'Estado SCI'!$A$16:$G$59,7,0)="","",VLOOKUP(A4,'Estado SCI'!$A$16:$G$59,7,0))</f>
        <v>Si</v>
      </c>
      <c r="J4" s="160">
        <f t="shared" si="2"/>
        <v>1</v>
      </c>
      <c r="K4" s="161">
        <f t="shared" si="1"/>
        <v>0.83333333333333337</v>
      </c>
    </row>
    <row r="5" spans="1:11" x14ac:dyDescent="0.25">
      <c r="A5" s="159" t="s">
        <v>146</v>
      </c>
      <c r="B5" s="159" t="s">
        <v>32</v>
      </c>
      <c r="C5" s="159" t="s">
        <v>33</v>
      </c>
      <c r="D5" s="159" t="s">
        <v>42</v>
      </c>
      <c r="E5" s="159" t="s">
        <v>43</v>
      </c>
      <c r="F5" s="159" t="str">
        <f>+VLOOKUP(A5,'Estado SCI'!$A$16:$I$59,9,0)</f>
        <v>Mantenimiento del control</v>
      </c>
      <c r="G5" s="159">
        <f>+VLOOKUP(A5,'Estado SCI'!$A$16:$L$59,12,0)</f>
        <v>20.123456000000001</v>
      </c>
      <c r="H5" s="159">
        <f t="shared" si="0"/>
        <v>8</v>
      </c>
      <c r="I5" s="159" t="str">
        <f>+IF(VLOOKUP(A5,'Estado SCI'!$A$16:$G$59,7,0)="","",VLOOKUP(A5,'Estado SCI'!$A$16:$G$59,7,0))</f>
        <v>Si</v>
      </c>
      <c r="J5" s="160">
        <f t="shared" si="2"/>
        <v>1</v>
      </c>
      <c r="K5" s="161">
        <f t="shared" si="1"/>
        <v>0.83333333333333337</v>
      </c>
    </row>
    <row r="6" spans="1:11" x14ac:dyDescent="0.25">
      <c r="A6" s="159" t="s">
        <v>147</v>
      </c>
      <c r="B6" s="159" t="s">
        <v>32</v>
      </c>
      <c r="C6" s="159" t="s">
        <v>33</v>
      </c>
      <c r="D6" s="159" t="s">
        <v>44</v>
      </c>
      <c r="E6" s="159" t="s">
        <v>45</v>
      </c>
      <c r="F6" s="159" t="str">
        <f>+VLOOKUP(A6,'Estado SCI'!$A$16:$I$59,9,0)</f>
        <v>Oportunidad de mejora</v>
      </c>
      <c r="G6" s="159">
        <f>+VLOOKUP(A6,'Estado SCI'!$A$16:$L$59,12,0)</f>
        <v>10.12345678</v>
      </c>
      <c r="H6" s="159">
        <f t="shared" si="0"/>
        <v>1</v>
      </c>
      <c r="I6" s="159" t="str">
        <f>+IF(VLOOKUP(A6,'Estado SCI'!$A$16:$G$59,7,0)="","",VLOOKUP(A6,'Estado SCI'!$A$16:$G$59,7,0))</f>
        <v>En proceso</v>
      </c>
      <c r="J6" s="160">
        <f t="shared" si="2"/>
        <v>0.5</v>
      </c>
      <c r="K6" s="161">
        <f t="shared" si="1"/>
        <v>0.83333333333333337</v>
      </c>
    </row>
    <row r="7" spans="1:11" x14ac:dyDescent="0.25">
      <c r="A7" s="159" t="s">
        <v>148</v>
      </c>
      <c r="B7" s="159" t="s">
        <v>32</v>
      </c>
      <c r="C7" s="159" t="s">
        <v>33</v>
      </c>
      <c r="D7" s="159" t="s">
        <v>46</v>
      </c>
      <c r="E7" s="159" t="s">
        <v>47</v>
      </c>
      <c r="F7" s="159" t="str">
        <f>+VLOOKUP(A7,'Estado SCI'!$A$16:$I$59,9,0)</f>
        <v>Oportunidad de mejora</v>
      </c>
      <c r="G7" s="159">
        <f>+VLOOKUP(A7,'Estado SCI'!$A$16:$L$59,12,0)</f>
        <v>10.123456789</v>
      </c>
      <c r="H7" s="159">
        <f t="shared" si="0"/>
        <v>2</v>
      </c>
      <c r="I7" s="159" t="str">
        <f>+IF(VLOOKUP(A7,'Estado SCI'!$A$16:$G$59,7,0)="","",VLOOKUP(A7,'Estado SCI'!$A$16:$G$59,7,0))</f>
        <v>En proceso</v>
      </c>
      <c r="J7" s="160">
        <f t="shared" si="2"/>
        <v>0.5</v>
      </c>
      <c r="K7" s="161">
        <f t="shared" si="1"/>
        <v>0.83333333333333337</v>
      </c>
    </row>
    <row r="8" spans="1:11" x14ac:dyDescent="0.25">
      <c r="A8" s="159" t="s">
        <v>149</v>
      </c>
      <c r="B8" s="159" t="s">
        <v>32</v>
      </c>
      <c r="C8" s="159" t="s">
        <v>33</v>
      </c>
      <c r="D8" s="159" t="s">
        <v>48</v>
      </c>
      <c r="E8" s="159" t="s">
        <v>49</v>
      </c>
      <c r="F8" s="159" t="str">
        <f>+VLOOKUP(A8,'Estado SCI'!$A$16:$I$59,9,0)</f>
        <v>Mantenimiento del control</v>
      </c>
      <c r="G8" s="159">
        <f>+VLOOKUP(A8,'Estado SCI'!$A$16:$L$59,12,0)</f>
        <v>20.1234567891</v>
      </c>
      <c r="H8" s="159">
        <f t="shared" si="0"/>
        <v>9</v>
      </c>
      <c r="I8" s="159" t="str">
        <f>+IF(VLOOKUP(A8,'Estado SCI'!$A$16:$G$59,7,0)="","",VLOOKUP(A8,'Estado SCI'!$A$16:$G$59,7,0))</f>
        <v>Si</v>
      </c>
      <c r="J8" s="160">
        <f t="shared" si="2"/>
        <v>1</v>
      </c>
      <c r="K8" s="161">
        <f t="shared" si="1"/>
        <v>0.83333333333333337</v>
      </c>
    </row>
    <row r="9" spans="1:11" x14ac:dyDescent="0.25">
      <c r="A9" s="159" t="s">
        <v>150</v>
      </c>
      <c r="B9" s="159" t="s">
        <v>32</v>
      </c>
      <c r="C9" s="159" t="s">
        <v>33</v>
      </c>
      <c r="D9" s="159" t="s">
        <v>50</v>
      </c>
      <c r="E9" s="159" t="s">
        <v>51</v>
      </c>
      <c r="F9" s="159" t="str">
        <f>+VLOOKUP(A9,'Estado SCI'!$A$16:$I$59,9,0)</f>
        <v>Oportunidad de mejora</v>
      </c>
      <c r="G9" s="159">
        <f>+VLOOKUP(A9,'Estado SCI'!$A$16:$L$59,12,0)</f>
        <v>10.12345678912</v>
      </c>
      <c r="H9" s="159">
        <f t="shared" si="0"/>
        <v>3</v>
      </c>
      <c r="I9" s="159" t="str">
        <f>+IF(VLOOKUP(A9,'Estado SCI'!$A$16:$G$59,7,0)="","",VLOOKUP(A9,'Estado SCI'!$A$16:$G$59,7,0))</f>
        <v>En proceso</v>
      </c>
      <c r="J9" s="160">
        <f t="shared" si="2"/>
        <v>0.5</v>
      </c>
      <c r="K9" s="161">
        <f t="shared" si="1"/>
        <v>0.83333333333333337</v>
      </c>
    </row>
    <row r="10" spans="1:11" x14ac:dyDescent="0.25">
      <c r="A10" s="159" t="s">
        <v>151</v>
      </c>
      <c r="B10" s="159" t="s">
        <v>32</v>
      </c>
      <c r="C10" s="159" t="s">
        <v>33</v>
      </c>
      <c r="D10" s="159" t="s">
        <v>52</v>
      </c>
      <c r="E10" s="159" t="s">
        <v>53</v>
      </c>
      <c r="F10" s="159" t="str">
        <f>+VLOOKUP(A10,'Estado SCI'!$A$16:$I$59,9,0)</f>
        <v>Oportunidad de mejora</v>
      </c>
      <c r="G10" s="159">
        <f>+VLOOKUP(A10,'Estado SCI'!$A$16:$L$59,12,0)</f>
        <v>10.123456789123001</v>
      </c>
      <c r="H10" s="159">
        <f t="shared" si="0"/>
        <v>4</v>
      </c>
      <c r="I10" s="159" t="str">
        <f>+IF(VLOOKUP(A10,'Estado SCI'!$A$16:$G$59,7,0)="","",VLOOKUP(A10,'Estado SCI'!$A$16:$G$59,7,0))</f>
        <v>En proceso</v>
      </c>
      <c r="J10" s="160">
        <f t="shared" si="2"/>
        <v>0.5</v>
      </c>
      <c r="K10" s="161">
        <f t="shared" si="1"/>
        <v>0.83333333333333337</v>
      </c>
    </row>
    <row r="11" spans="1:11" x14ac:dyDescent="0.25">
      <c r="A11" s="159" t="s">
        <v>152</v>
      </c>
      <c r="B11" s="159" t="s">
        <v>32</v>
      </c>
      <c r="C11" s="159" t="s">
        <v>33</v>
      </c>
      <c r="D11" s="159" t="s">
        <v>54</v>
      </c>
      <c r="E11" s="159" t="s">
        <v>55</v>
      </c>
      <c r="F11" s="159" t="str">
        <f>+VLOOKUP(A11,'Estado SCI'!$A$16:$I$59,9,0)</f>
        <v>Mantenimiento del control</v>
      </c>
      <c r="G11" s="159">
        <f>+VLOOKUP(A11,'Estado SCI'!$A$16:$L$59,12,0)</f>
        <v>20.123456789123399</v>
      </c>
      <c r="H11" s="159">
        <f t="shared" si="0"/>
        <v>10</v>
      </c>
      <c r="I11" s="159" t="str">
        <f>+IF(VLOOKUP(A11,'Estado SCI'!$A$16:$G$59,7,0)="","",VLOOKUP(A11,'Estado SCI'!$A$16:$G$59,7,0))</f>
        <v>Si</v>
      </c>
      <c r="J11" s="160">
        <f t="shared" si="2"/>
        <v>1</v>
      </c>
      <c r="K11" s="161">
        <f t="shared" si="1"/>
        <v>0.83333333333333337</v>
      </c>
    </row>
    <row r="12" spans="1:11" x14ac:dyDescent="0.25">
      <c r="A12" s="159" t="s">
        <v>153</v>
      </c>
      <c r="B12" s="159" t="s">
        <v>32</v>
      </c>
      <c r="C12" s="159" t="s">
        <v>33</v>
      </c>
      <c r="D12" s="159" t="s">
        <v>56</v>
      </c>
      <c r="E12" s="159" t="s">
        <v>57</v>
      </c>
      <c r="F12" s="159" t="str">
        <f>+VLOOKUP(A12,'Estado SCI'!$A$16:$I$59,9,0)</f>
        <v>Mantenimiento del control</v>
      </c>
      <c r="G12" s="159">
        <f>+VLOOKUP(A12,'Estado SCI'!$A$16:$L$59,12,0)</f>
        <v>20.123456789123448</v>
      </c>
      <c r="H12" s="159">
        <f t="shared" si="0"/>
        <v>11</v>
      </c>
      <c r="I12" s="159" t="str">
        <f>+IF(VLOOKUP(A12,'Estado SCI'!$A$16:$G$59,7,0)="","",VLOOKUP(A12,'Estado SCI'!$A$16:$G$59,7,0))</f>
        <v>Si</v>
      </c>
      <c r="J12" s="160">
        <f t="shared" si="2"/>
        <v>1</v>
      </c>
      <c r="K12" s="161">
        <f t="shared" si="1"/>
        <v>0.83333333333333337</v>
      </c>
    </row>
    <row r="13" spans="1:11" x14ac:dyDescent="0.25">
      <c r="A13" s="159" t="s">
        <v>154</v>
      </c>
      <c r="B13" s="159" t="s">
        <v>32</v>
      </c>
      <c r="C13" s="159" t="s">
        <v>33</v>
      </c>
      <c r="D13" s="159" t="s">
        <v>58</v>
      </c>
      <c r="E13" s="159" t="s">
        <v>59</v>
      </c>
      <c r="F13" s="159" t="str">
        <f>+VLOOKUP(A13,'Estado SCI'!$A$16:$I$59,9,0)</f>
        <v>Mantenimiento del control</v>
      </c>
      <c r="G13" s="159">
        <f>+VLOOKUP(A13,'Estado SCI'!$A$16:$L$59,12,0)</f>
        <v>20.123456789123455</v>
      </c>
      <c r="H13" s="159">
        <f t="shared" si="0"/>
        <v>12</v>
      </c>
      <c r="I13" s="159" t="str">
        <f>+IF(VLOOKUP(A13,'Estado SCI'!$A$16:$G$59,7,0)="","",VLOOKUP(A13,'Estado SCI'!$A$16:$G$59,7,0))</f>
        <v>Si</v>
      </c>
      <c r="J13" s="160">
        <f t="shared" si="2"/>
        <v>1</v>
      </c>
      <c r="K13" s="161">
        <f t="shared" si="1"/>
        <v>0.83333333333333337</v>
      </c>
    </row>
    <row r="14" spans="1:11" ht="15" customHeight="1" x14ac:dyDescent="0.25">
      <c r="A14" s="159" t="s">
        <v>155</v>
      </c>
      <c r="B14" s="159" t="str">
        <f>+VLOOKUP(A14,'Estado SCI'!$A$16:$C$59,3,0)</f>
        <v>EVALUACION DEL RIESGO</v>
      </c>
      <c r="C14" s="159" t="s">
        <v>62</v>
      </c>
      <c r="D14" s="159" t="s">
        <v>34</v>
      </c>
      <c r="E14" s="159" t="s">
        <v>156</v>
      </c>
      <c r="F14" s="159" t="str">
        <f>+VLOOKUP(A14,'Estado SCI'!$A$16:$I$59,9,0)</f>
        <v>Mantenimiento del control</v>
      </c>
      <c r="G14" s="159">
        <f>+VLOOKUP(A14,'Estado SCI'!$A$16:$L$59,12,0)</f>
        <v>40.229999999999997</v>
      </c>
      <c r="H14" s="159">
        <f t="shared" si="0"/>
        <v>18</v>
      </c>
      <c r="I14" s="159" t="str">
        <f>+IF(VLOOKUP(A14,'Estado SCI'!$A$16:$G$59,7,0)="","",VLOOKUP(A14,'Estado SCI'!$A$16:$G$59,7,0))</f>
        <v>Si</v>
      </c>
      <c r="J14" s="160">
        <f t="shared" si="2"/>
        <v>1</v>
      </c>
      <c r="K14" s="161">
        <f t="shared" si="1"/>
        <v>0.7</v>
      </c>
    </row>
    <row r="15" spans="1:11" ht="15" customHeight="1" x14ac:dyDescent="0.25">
      <c r="A15" s="159" t="s">
        <v>157</v>
      </c>
      <c r="B15" s="159" t="s">
        <v>61</v>
      </c>
      <c r="C15" s="159" t="s">
        <v>62</v>
      </c>
      <c r="D15" s="159" t="s">
        <v>37</v>
      </c>
      <c r="E15" s="159" t="s">
        <v>158</v>
      </c>
      <c r="F15" s="159" t="str">
        <f>+VLOOKUP(A15,'Estado SCI'!$A$16:$I$59,9,0)</f>
        <v>Oportunidad de mejora</v>
      </c>
      <c r="G15" s="159">
        <f>+VLOOKUP(A15,'Estado SCI'!$A$16:$L$59,12,0)</f>
        <v>30.234000000000002</v>
      </c>
      <c r="H15" s="159">
        <f t="shared" si="0"/>
        <v>14</v>
      </c>
      <c r="I15" s="159" t="str">
        <f>+IF(VLOOKUP(A15,'Estado SCI'!$A$16:$G$59,7,0)="","",VLOOKUP(A15,'Estado SCI'!$A$16:$G$59,7,0))</f>
        <v>En proceso</v>
      </c>
      <c r="J15" s="160">
        <f t="shared" si="2"/>
        <v>0.5</v>
      </c>
      <c r="K15" s="161">
        <f t="shared" si="1"/>
        <v>0.7</v>
      </c>
    </row>
    <row r="16" spans="1:11" ht="15" customHeight="1" x14ac:dyDescent="0.25">
      <c r="A16" s="159" t="s">
        <v>159</v>
      </c>
      <c r="B16" s="159" t="s">
        <v>61</v>
      </c>
      <c r="C16" s="159" t="s">
        <v>62</v>
      </c>
      <c r="D16" s="159" t="s">
        <v>40</v>
      </c>
      <c r="E16" s="159" t="s">
        <v>160</v>
      </c>
      <c r="F16" s="159" t="str">
        <f>+VLOOKUP(A16,'Estado SCI'!$A$16:$I$59,9,0)</f>
        <v>Mantenimiento del control</v>
      </c>
      <c r="G16" s="159">
        <f>+VLOOKUP(A16,'Estado SCI'!$A$16:$L$59,12,0)</f>
        <v>40.234499999999997</v>
      </c>
      <c r="H16" s="159">
        <f t="shared" si="0"/>
        <v>19</v>
      </c>
      <c r="I16" s="159" t="str">
        <f>+IF(VLOOKUP(A16,'Estado SCI'!$A$16:$G$59,7,0)="","",VLOOKUP(A16,'Estado SCI'!$A$16:$G$59,7,0))</f>
        <v>Si</v>
      </c>
      <c r="J16" s="160">
        <f t="shared" si="2"/>
        <v>1</v>
      </c>
      <c r="K16" s="161">
        <f t="shared" si="1"/>
        <v>0.7</v>
      </c>
    </row>
    <row r="17" spans="1:11" ht="15.75" customHeight="1" x14ac:dyDescent="0.25">
      <c r="A17" s="159" t="s">
        <v>161</v>
      </c>
      <c r="B17" s="159" t="s">
        <v>61</v>
      </c>
      <c r="C17" s="159" t="s">
        <v>62</v>
      </c>
      <c r="D17" s="159" t="s">
        <v>42</v>
      </c>
      <c r="E17" s="159" t="s">
        <v>66</v>
      </c>
      <c r="F17" s="159" t="str">
        <f>+VLOOKUP(A17,'Estado SCI'!$A$16:$I$59,9,0)</f>
        <v>Oportunidad de mejora</v>
      </c>
      <c r="G17" s="159">
        <f>+VLOOKUP(A17,'Estado SCI'!$A$16:$L$59,12,0)</f>
        <v>30.234559999999998</v>
      </c>
      <c r="H17" s="159">
        <f t="shared" si="0"/>
        <v>15</v>
      </c>
      <c r="I17" s="159" t="str">
        <f>+IF(VLOOKUP(A17,'Estado SCI'!$A$16:$G$59,7,0)="","",VLOOKUP(A17,'Estado SCI'!$A$16:$G$59,7,0))</f>
        <v>En proceso</v>
      </c>
      <c r="J17" s="160">
        <f t="shared" si="2"/>
        <v>0.5</v>
      </c>
      <c r="K17" s="161">
        <f t="shared" si="1"/>
        <v>0.7</v>
      </c>
    </row>
    <row r="18" spans="1:11" ht="15" customHeight="1" x14ac:dyDescent="0.25">
      <c r="A18" s="159" t="s">
        <v>162</v>
      </c>
      <c r="B18" s="159" t="s">
        <v>61</v>
      </c>
      <c r="C18" s="159" t="s">
        <v>80</v>
      </c>
      <c r="D18" s="159" t="s">
        <v>34</v>
      </c>
      <c r="E18" s="159" t="s">
        <v>69</v>
      </c>
      <c r="F18" s="159" t="str">
        <f>+VLOOKUP(A18,'Estado SCI'!$A$16:$I$59,9,0)</f>
        <v>Mantenimiento del control</v>
      </c>
      <c r="G18" s="159">
        <f>+VLOOKUP(A18,'Estado SCI'!$A$16:$L$59,12,0)</f>
        <v>40.234566999999998</v>
      </c>
      <c r="H18" s="159">
        <f t="shared" si="0"/>
        <v>20</v>
      </c>
      <c r="I18" s="159" t="str">
        <f>+IF(VLOOKUP(A18,'Estado SCI'!$A$16:$G$59,7,0)="","",VLOOKUP(A18,'Estado SCI'!$A$16:$G$59,7,0))</f>
        <v>Si</v>
      </c>
      <c r="J18" s="160">
        <f t="shared" si="2"/>
        <v>1</v>
      </c>
      <c r="K18" s="161">
        <f t="shared" si="1"/>
        <v>0.7</v>
      </c>
    </row>
    <row r="19" spans="1:11" ht="15" customHeight="1" x14ac:dyDescent="0.25">
      <c r="A19" s="159" t="s">
        <v>163</v>
      </c>
      <c r="B19" s="159" t="s">
        <v>61</v>
      </c>
      <c r="C19" s="159" t="s">
        <v>80</v>
      </c>
      <c r="D19" s="159" t="s">
        <v>37</v>
      </c>
      <c r="E19" s="159" t="s">
        <v>70</v>
      </c>
      <c r="F19" s="159" t="str">
        <f>+VLOOKUP(A19,'Estado SCI'!$A$16:$I$59,9,0)</f>
        <v>Oportunidad de mejora</v>
      </c>
      <c r="G19" s="159">
        <f>+VLOOKUP(A19,'Estado SCI'!$A$16:$L$59,12,0)</f>
        <v>30.234567800000001</v>
      </c>
      <c r="H19" s="159">
        <f t="shared" si="0"/>
        <v>16</v>
      </c>
      <c r="I19" s="159" t="str">
        <f>+IF(VLOOKUP(A19,'Estado SCI'!$A$16:$G$59,7,0)="","",VLOOKUP(A19,'Estado SCI'!$A$16:$G$59,7,0))</f>
        <v>En proceso</v>
      </c>
      <c r="J19" s="160">
        <f t="shared" si="2"/>
        <v>0.5</v>
      </c>
      <c r="K19" s="161">
        <f t="shared" si="1"/>
        <v>0.7</v>
      </c>
    </row>
    <row r="20" spans="1:11" ht="15" customHeight="1" x14ac:dyDescent="0.25">
      <c r="A20" s="159" t="s">
        <v>164</v>
      </c>
      <c r="B20" s="159" t="s">
        <v>61</v>
      </c>
      <c r="C20" s="159" t="s">
        <v>80</v>
      </c>
      <c r="D20" s="159" t="s">
        <v>40</v>
      </c>
      <c r="E20" s="159" t="s">
        <v>71</v>
      </c>
      <c r="F20" s="159" t="str">
        <f>+VLOOKUP(A20,'Estado SCI'!$A$16:$I$59,9,0)</f>
        <v>Oportunidad de mejora</v>
      </c>
      <c r="G20" s="159">
        <f>+VLOOKUP(A20,'Estado SCI'!$A$16:$L$59,12,0)</f>
        <v>30.234567890000001</v>
      </c>
      <c r="H20" s="159">
        <f t="shared" si="0"/>
        <v>17</v>
      </c>
      <c r="I20" s="159" t="str">
        <f>+IF(VLOOKUP(A20,'Estado SCI'!$A$16:$G$59,7,0)="","",VLOOKUP(A20,'Estado SCI'!$A$16:$G$59,7,0))</f>
        <v>En proceso</v>
      </c>
      <c r="J20" s="160">
        <f t="shared" si="2"/>
        <v>0.5</v>
      </c>
      <c r="K20" s="161">
        <f t="shared" si="1"/>
        <v>0.7</v>
      </c>
    </row>
    <row r="21" spans="1:11" ht="15.75" customHeight="1" x14ac:dyDescent="0.25">
      <c r="A21" s="159" t="s">
        <v>165</v>
      </c>
      <c r="B21" s="159" t="s">
        <v>61</v>
      </c>
      <c r="C21" s="159" t="s">
        <v>80</v>
      </c>
      <c r="D21" s="159" t="s">
        <v>34</v>
      </c>
      <c r="E21" s="159" t="s">
        <v>74</v>
      </c>
      <c r="F21" s="159" t="str">
        <f>+VLOOKUP(A21,'Estado SCI'!$A$16:$I$59,9,0)</f>
        <v>Mantenimiento del control</v>
      </c>
      <c r="G21" s="159">
        <f>+VLOOKUP(A21,'Estado SCI'!$A$16:$L$59,12,0)</f>
        <v>40.234567891200001</v>
      </c>
      <c r="H21" s="159">
        <f t="shared" si="0"/>
        <v>21</v>
      </c>
      <c r="I21" s="159" t="str">
        <f>+IF(VLOOKUP(A21,'Estado SCI'!$A$16:$G$59,7,0)="","",VLOOKUP(A21,'Estado SCI'!$A$16:$G$59,7,0))</f>
        <v>Si</v>
      </c>
      <c r="J21" s="160">
        <f t="shared" si="2"/>
        <v>1</v>
      </c>
      <c r="K21" s="161">
        <f t="shared" si="1"/>
        <v>0.7</v>
      </c>
    </row>
    <row r="22" spans="1:11" ht="15" customHeight="1" x14ac:dyDescent="0.25">
      <c r="A22" s="159" t="s">
        <v>166</v>
      </c>
      <c r="B22" s="159" t="s">
        <v>61</v>
      </c>
      <c r="C22" s="159" t="s">
        <v>88</v>
      </c>
      <c r="D22" s="159" t="s">
        <v>37</v>
      </c>
      <c r="E22" s="159" t="s">
        <v>75</v>
      </c>
      <c r="F22" s="159" t="str">
        <f>+VLOOKUP(A22,'Estado SCI'!$A$16:$I$59,9,0)</f>
        <v>Mantenimiento del control</v>
      </c>
      <c r="G22" s="159">
        <f>+VLOOKUP(A22,'Estado SCI'!$A$16:$L$59,12,0)</f>
        <v>40.23456789123</v>
      </c>
      <c r="H22" s="159">
        <f t="shared" si="0"/>
        <v>22</v>
      </c>
      <c r="I22" s="159" t="str">
        <f>+IF(VLOOKUP(A22,'Estado SCI'!$A$16:$G$59,7,0)="","",VLOOKUP(A22,'Estado SCI'!$A$16:$G$59,7,0))</f>
        <v>Si</v>
      </c>
      <c r="J22" s="160">
        <f t="shared" si="2"/>
        <v>1</v>
      </c>
      <c r="K22" s="161">
        <f t="shared" si="1"/>
        <v>0.7</v>
      </c>
    </row>
    <row r="23" spans="1:11" ht="15" customHeight="1" x14ac:dyDescent="0.25">
      <c r="A23" s="159" t="s">
        <v>167</v>
      </c>
      <c r="B23" s="159" t="s">
        <v>61</v>
      </c>
      <c r="C23" s="159" t="s">
        <v>88</v>
      </c>
      <c r="D23" s="159" t="s">
        <v>40</v>
      </c>
      <c r="E23" s="159" t="s">
        <v>77</v>
      </c>
      <c r="F23" s="159" t="str">
        <f>+VLOOKUP(A23,'Estado SCI'!$A$16:$I$59,9,0)</f>
        <v>Deficiencia de control</v>
      </c>
      <c r="G23" s="159">
        <f>+VLOOKUP(A23,'Estado SCI'!$A$16:$L$59,12,0)</f>
        <v>20.234567891234001</v>
      </c>
      <c r="H23" s="159">
        <f t="shared" si="0"/>
        <v>13</v>
      </c>
      <c r="I23" s="159" t="str">
        <f>+IF(VLOOKUP(A23,'Estado SCI'!$A$16:$G$59,7,0)="","",VLOOKUP(A23,'Estado SCI'!$A$16:$G$59,7,0))</f>
        <v>No</v>
      </c>
      <c r="J23" s="160">
        <f t="shared" si="2"/>
        <v>0</v>
      </c>
      <c r="K23" s="161">
        <f t="shared" si="1"/>
        <v>0.7</v>
      </c>
    </row>
    <row r="24" spans="1:11" ht="15" customHeight="1" x14ac:dyDescent="0.25">
      <c r="A24" s="159" t="s">
        <v>168</v>
      </c>
      <c r="B24" s="159" t="str">
        <f>+VLOOKUP(A24,'Estado SCI'!$A$16:$C$59,3,0)</f>
        <v>ACTIVIDADES DE CONTROL</v>
      </c>
      <c r="C24" s="159" t="s">
        <v>88</v>
      </c>
      <c r="D24" s="159" t="s">
        <v>34</v>
      </c>
      <c r="E24" s="159" t="s">
        <v>81</v>
      </c>
      <c r="F24" s="159" t="str">
        <f>+VLOOKUP(A24,'Estado SCI'!$A$16:$I$59,9,0)</f>
        <v>Mantenimiento del control</v>
      </c>
      <c r="G24" s="159">
        <f>+VLOOKUP(A24,'Estado SCI'!$A$16:$L$59,12,0)</f>
        <v>60.31</v>
      </c>
      <c r="H24" s="159">
        <f t="shared" si="0"/>
        <v>24</v>
      </c>
      <c r="I24" s="159" t="str">
        <f>+IF(VLOOKUP(A24,'Estado SCI'!$A$16:$G$59,7,0)="","",VLOOKUP(A24,'Estado SCI'!$A$16:$G$59,7,0))</f>
        <v>Si</v>
      </c>
      <c r="J24" s="160">
        <f t="shared" si="2"/>
        <v>1</v>
      </c>
      <c r="K24" s="161">
        <f t="shared" si="1"/>
        <v>0.9</v>
      </c>
    </row>
    <row r="25" spans="1:11" ht="15" customHeight="1" x14ac:dyDescent="0.25">
      <c r="A25" s="159" t="s">
        <v>169</v>
      </c>
      <c r="B25" s="159" t="s">
        <v>79</v>
      </c>
      <c r="C25" s="159" t="s">
        <v>88</v>
      </c>
      <c r="D25" s="159" t="s">
        <v>37</v>
      </c>
      <c r="E25" s="159" t="s">
        <v>82</v>
      </c>
      <c r="F25" s="159" t="str">
        <f>+VLOOKUP(A25,'Estado SCI'!$A$16:$I$59,9,0)</f>
        <v>Oportunidad de mejora</v>
      </c>
      <c r="G25" s="159">
        <f>+VLOOKUP(A25,'Estado SCI'!$A$16:$L$59,12,0)</f>
        <v>50.323</v>
      </c>
      <c r="H25" s="159">
        <f t="shared" si="0"/>
        <v>23</v>
      </c>
      <c r="I25" s="159" t="str">
        <f>+IF(VLOOKUP(A25,'Estado SCI'!$A$16:$G$59,7,0)="","",VLOOKUP(A25,'Estado SCI'!$A$16:$G$59,7,0))</f>
        <v>En proceso</v>
      </c>
      <c r="J25" s="160">
        <f t="shared" si="2"/>
        <v>0.5</v>
      </c>
      <c r="K25" s="161">
        <f t="shared" si="1"/>
        <v>0.9</v>
      </c>
    </row>
    <row r="26" spans="1:11" ht="15" customHeight="1" x14ac:dyDescent="0.25">
      <c r="A26" s="159" t="s">
        <v>170</v>
      </c>
      <c r="B26" s="159" t="s">
        <v>79</v>
      </c>
      <c r="C26" s="159" t="s">
        <v>88</v>
      </c>
      <c r="D26" s="159" t="s">
        <v>40</v>
      </c>
      <c r="E26" s="159" t="s">
        <v>83</v>
      </c>
      <c r="F26" s="159" t="str">
        <f>+VLOOKUP(A26,'Estado SCI'!$A$16:$I$59,9,0)</f>
        <v>Mantenimiento del control</v>
      </c>
      <c r="G26" s="159">
        <f>+VLOOKUP(A26,'Estado SCI'!$A$16:$L$59,12,0)</f>
        <v>60.323999999999998</v>
      </c>
      <c r="H26" s="159">
        <f t="shared" si="0"/>
        <v>25</v>
      </c>
      <c r="I26" s="159" t="str">
        <f>+IF(VLOOKUP(A26,'Estado SCI'!$A$16:$G$59,7,0)="","",VLOOKUP(A26,'Estado SCI'!$A$16:$G$59,7,0))</f>
        <v>Si</v>
      </c>
      <c r="J26" s="160">
        <f t="shared" si="2"/>
        <v>1</v>
      </c>
      <c r="K26" s="161">
        <f t="shared" si="1"/>
        <v>0.9</v>
      </c>
    </row>
    <row r="27" spans="1:11" ht="15.75" customHeight="1" x14ac:dyDescent="0.25">
      <c r="A27" s="159" t="s">
        <v>171</v>
      </c>
      <c r="B27" s="159" t="s">
        <v>79</v>
      </c>
      <c r="C27" s="159" t="s">
        <v>88</v>
      </c>
      <c r="D27" s="159" t="s">
        <v>42</v>
      </c>
      <c r="E27" s="159" t="s">
        <v>84</v>
      </c>
      <c r="F27" s="159" t="str">
        <f>+VLOOKUP(A27,'Estado SCI'!$A$16:$I$59,9,0)</f>
        <v>Mantenimiento del control</v>
      </c>
      <c r="G27" s="159">
        <f>+VLOOKUP(A27,'Estado SCI'!$A$16:$L$59,12,0)</f>
        <v>60.325000000000003</v>
      </c>
      <c r="H27" s="159">
        <f t="shared" si="0"/>
        <v>26</v>
      </c>
      <c r="I27" s="159" t="str">
        <f>+IF(VLOOKUP(A27,'Estado SCI'!$A$16:$G$59,7,0)="","",VLOOKUP(A27,'Estado SCI'!$A$16:$G$59,7,0))</f>
        <v>Si</v>
      </c>
      <c r="J27" s="160">
        <f t="shared" si="2"/>
        <v>1</v>
      </c>
      <c r="K27" s="161">
        <f t="shared" si="1"/>
        <v>0.9</v>
      </c>
    </row>
    <row r="28" spans="1:11" ht="15" customHeight="1" x14ac:dyDescent="0.25">
      <c r="A28" s="159" t="s">
        <v>172</v>
      </c>
      <c r="B28" s="159" t="s">
        <v>79</v>
      </c>
      <c r="C28" s="159" t="s">
        <v>98</v>
      </c>
      <c r="D28" s="159" t="s">
        <v>44</v>
      </c>
      <c r="E28" s="159" t="s">
        <v>85</v>
      </c>
      <c r="F28" s="159" t="str">
        <f>+VLOOKUP(A28,'Estado SCI'!$A$16:$I$59,9,0)</f>
        <v>Mantenimiento del control</v>
      </c>
      <c r="G28" s="159">
        <f>+VLOOKUP(A28,'Estado SCI'!$A$16:$L$59,12,0)</f>
        <v>60.326000000000001</v>
      </c>
      <c r="H28" s="159">
        <f t="shared" si="0"/>
        <v>27</v>
      </c>
      <c r="I28" s="159" t="str">
        <f>+IF(VLOOKUP(A28,'Estado SCI'!$A$16:$G$59,7,0)="","",VLOOKUP(A28,'Estado SCI'!$A$16:$G$59,7,0))</f>
        <v>Si</v>
      </c>
      <c r="J28" s="160">
        <f t="shared" si="2"/>
        <v>1</v>
      </c>
      <c r="K28" s="161">
        <f t="shared" si="1"/>
        <v>0.9</v>
      </c>
    </row>
    <row r="29" spans="1:11" ht="15" customHeight="1" x14ac:dyDescent="0.25">
      <c r="A29" s="159" t="s">
        <v>173</v>
      </c>
      <c r="B29" s="159" t="str">
        <f>+VLOOKUP(A29,'Estado SCI'!$A$16:$C$59,3,0)</f>
        <v>INFORMACION Y COMUNICACIÓN</v>
      </c>
      <c r="C29" s="159" t="s">
        <v>98</v>
      </c>
      <c r="D29" s="159" t="s">
        <v>34</v>
      </c>
      <c r="E29" s="159" t="s">
        <v>89</v>
      </c>
      <c r="F29" s="159" t="str">
        <f>+VLOOKUP(A29,'Estado SCI'!$A$16:$I$59,9,0)</f>
        <v>Mantenimiento del control</v>
      </c>
      <c r="G29" s="159">
        <f>+VLOOKUP(A29,'Estado SCI'!$A$16:$L$59,12,0)</f>
        <v>80.412000000000006</v>
      </c>
      <c r="H29" s="159">
        <f t="shared" si="0"/>
        <v>31</v>
      </c>
      <c r="I29" s="159" t="str">
        <f>+IF(VLOOKUP(A29,'Estado SCI'!$A$16:$G$59,7,0)="","",VLOOKUP(A29,'Estado SCI'!$A$16:$G$59,7,0))</f>
        <v>Si</v>
      </c>
      <c r="J29" s="160">
        <f t="shared" si="2"/>
        <v>1</v>
      </c>
      <c r="K29" s="161">
        <f t="shared" si="1"/>
        <v>0.7857142857142857</v>
      </c>
    </row>
    <row r="30" spans="1:11" ht="15" customHeight="1" x14ac:dyDescent="0.25">
      <c r="A30" s="159" t="s">
        <v>174</v>
      </c>
      <c r="B30" s="159" t="s">
        <v>87</v>
      </c>
      <c r="C30" s="159" t="s">
        <v>98</v>
      </c>
      <c r="D30" s="159" t="s">
        <v>37</v>
      </c>
      <c r="E30" s="159" t="s">
        <v>90</v>
      </c>
      <c r="F30" s="159" t="str">
        <f>+VLOOKUP(A30,'Estado SCI'!$A$16:$I$59,9,0)</f>
        <v>Mantenimiento del control</v>
      </c>
      <c r="G30" s="159">
        <f>+VLOOKUP(A30,'Estado SCI'!$A$16:$L$59,12,0)</f>
        <v>80.412300000000002</v>
      </c>
      <c r="H30" s="159">
        <f t="shared" si="0"/>
        <v>32</v>
      </c>
      <c r="I30" s="159" t="str">
        <f>+IF(VLOOKUP(A30,'Estado SCI'!$A$16:$G$59,7,0)="","",VLOOKUP(A30,'Estado SCI'!$A$16:$G$59,7,0))</f>
        <v>Si</v>
      </c>
      <c r="J30" s="160">
        <f t="shared" si="2"/>
        <v>1</v>
      </c>
      <c r="K30" s="161">
        <f t="shared" si="1"/>
        <v>0.7857142857142857</v>
      </c>
    </row>
    <row r="31" spans="1:11" ht="15.75" customHeight="1" x14ac:dyDescent="0.25">
      <c r="A31" s="159" t="s">
        <v>175</v>
      </c>
      <c r="B31" s="159" t="s">
        <v>87</v>
      </c>
      <c r="C31" s="159" t="s">
        <v>98</v>
      </c>
      <c r="D31" s="159" t="s">
        <v>40</v>
      </c>
      <c r="E31" s="159" t="s">
        <v>91</v>
      </c>
      <c r="F31" s="159" t="str">
        <f>+VLOOKUP(A31,'Estado SCI'!$A$16:$I$59,9,0)</f>
        <v>Mantenimiento del control</v>
      </c>
      <c r="G31" s="159">
        <f>+VLOOKUP(A31,'Estado SCI'!$A$16:$L$59,12,0)</f>
        <v>80.41234</v>
      </c>
      <c r="H31" s="159">
        <f t="shared" si="0"/>
        <v>33</v>
      </c>
      <c r="I31" s="159" t="str">
        <f>+IF(VLOOKUP(A31,'Estado SCI'!$A$16:$G$59,7,0)="","",VLOOKUP(A31,'Estado SCI'!$A$16:$G$59,7,0))</f>
        <v>Si</v>
      </c>
      <c r="J31" s="160">
        <f t="shared" si="2"/>
        <v>1</v>
      </c>
      <c r="K31" s="161">
        <f t="shared" si="1"/>
        <v>0.7857142857142857</v>
      </c>
    </row>
    <row r="32" spans="1:11" x14ac:dyDescent="0.25">
      <c r="A32" s="159" t="s">
        <v>176</v>
      </c>
      <c r="B32" s="159" t="s">
        <v>87</v>
      </c>
      <c r="C32" s="159" t="s">
        <v>104</v>
      </c>
      <c r="D32" s="159" t="s">
        <v>42</v>
      </c>
      <c r="E32" s="159" t="s">
        <v>92</v>
      </c>
      <c r="F32" s="159" t="str">
        <f>+VLOOKUP(A32,'Estado SCI'!$A$16:$I$59,9,0)</f>
        <v>Mantenimiento del control</v>
      </c>
      <c r="G32" s="159">
        <f>+VLOOKUP(A32,'Estado SCI'!$A$16:$L$59,12,0)</f>
        <v>80.412345000000002</v>
      </c>
      <c r="H32" s="159">
        <f t="shared" si="0"/>
        <v>34</v>
      </c>
      <c r="I32" s="159" t="str">
        <f>+IF(VLOOKUP(A32,'Estado SCI'!$A$16:$G$59,7,0)="","",VLOOKUP(A32,'Estado SCI'!$A$16:$G$59,7,0))</f>
        <v>Si</v>
      </c>
      <c r="J32" s="160">
        <f t="shared" si="2"/>
        <v>1</v>
      </c>
      <c r="K32" s="161">
        <f t="shared" si="1"/>
        <v>0.7857142857142857</v>
      </c>
    </row>
    <row r="33" spans="1:11" x14ac:dyDescent="0.25">
      <c r="A33" s="159" t="s">
        <v>177</v>
      </c>
      <c r="B33" s="159" t="s">
        <v>87</v>
      </c>
      <c r="C33" s="159" t="s">
        <v>178</v>
      </c>
      <c r="D33" s="159" t="s">
        <v>44</v>
      </c>
      <c r="E33" s="159" t="s">
        <v>93</v>
      </c>
      <c r="F33" s="159" t="str">
        <f>+VLOOKUP(A33,'Estado SCI'!$A$16:$I$59,9,0)</f>
        <v>Oportunidad de mejora</v>
      </c>
      <c r="G33" s="159">
        <f>+VLOOKUP(A33,'Estado SCI'!$A$16:$L$59,12,0)</f>
        <v>70.412345599999995</v>
      </c>
      <c r="H33" s="159">
        <f t="shared" si="0"/>
        <v>28</v>
      </c>
      <c r="I33" s="159" t="str">
        <f>+IF(VLOOKUP(A33,'Estado SCI'!$A$16:$G$59,7,0)="","",VLOOKUP(A33,'Estado SCI'!$A$16:$G$59,7,0))</f>
        <v>En proceso</v>
      </c>
      <c r="J33" s="160">
        <f t="shared" si="2"/>
        <v>0.5</v>
      </c>
      <c r="K33" s="161">
        <f t="shared" si="1"/>
        <v>0.7857142857142857</v>
      </c>
    </row>
    <row r="34" spans="1:11" x14ac:dyDescent="0.25">
      <c r="A34" s="159" t="s">
        <v>179</v>
      </c>
      <c r="B34" s="159" t="s">
        <v>87</v>
      </c>
      <c r="C34" s="159" t="s">
        <v>178</v>
      </c>
      <c r="D34" s="159" t="s">
        <v>46</v>
      </c>
      <c r="E34" s="159" t="s">
        <v>94</v>
      </c>
      <c r="F34" s="159" t="str">
        <f>+VLOOKUP(A34,'Estado SCI'!$A$16:$I$59,9,0)</f>
        <v>Oportunidad de mejora</v>
      </c>
      <c r="G34" s="159">
        <f>+VLOOKUP(A34,'Estado SCI'!$A$16:$L$59,12,0)</f>
        <v>70.412345669999993</v>
      </c>
      <c r="H34" s="159">
        <f t="shared" si="0"/>
        <v>29</v>
      </c>
      <c r="I34" s="159" t="str">
        <f>+IF(VLOOKUP(A34,'Estado SCI'!$A$16:$G$59,7,0)="","",VLOOKUP(A34,'Estado SCI'!$A$16:$G$59,7,0))</f>
        <v>En proceso</v>
      </c>
      <c r="J34" s="160">
        <f t="shared" si="2"/>
        <v>0.5</v>
      </c>
      <c r="K34" s="161">
        <f t="shared" si="1"/>
        <v>0.7857142857142857</v>
      </c>
    </row>
    <row r="35" spans="1:11" x14ac:dyDescent="0.25">
      <c r="A35" s="159" t="s">
        <v>180</v>
      </c>
      <c r="B35" s="159" t="s">
        <v>87</v>
      </c>
      <c r="C35" s="159" t="s">
        <v>178</v>
      </c>
      <c r="D35" s="159" t="s">
        <v>48</v>
      </c>
      <c r="E35" s="159" t="s">
        <v>95</v>
      </c>
      <c r="F35" s="159" t="str">
        <f>+VLOOKUP(A35,'Estado SCI'!$A$16:$I$59,9,0)</f>
        <v>Oportunidad de mejora</v>
      </c>
      <c r="G35" s="159">
        <f>+VLOOKUP(A35,'Estado SCI'!$A$16:$L$59,12,0)</f>
        <v>70.412345677999994</v>
      </c>
      <c r="H35" s="159">
        <f t="shared" si="0"/>
        <v>30</v>
      </c>
      <c r="I35" s="159" t="str">
        <f>+IF(VLOOKUP(A35,'Estado SCI'!$A$16:$G$59,7,0)="","",VLOOKUP(A35,'Estado SCI'!$A$16:$G$59,7,0))</f>
        <v>En proceso</v>
      </c>
      <c r="J35" s="160">
        <f t="shared" si="2"/>
        <v>0.5</v>
      </c>
      <c r="K35" s="161">
        <f t="shared" si="1"/>
        <v>0.7857142857142857</v>
      </c>
    </row>
    <row r="36" spans="1:11" x14ac:dyDescent="0.25">
      <c r="A36" s="159" t="s">
        <v>181</v>
      </c>
      <c r="B36" s="159" t="str">
        <f>+VLOOKUP(A36,'Estado SCI'!$A$16:$C$59,3,0)</f>
        <v>ACTIVIDADES DE MONITOREO</v>
      </c>
      <c r="C36" s="159" t="s">
        <v>178</v>
      </c>
      <c r="D36" s="159" t="s">
        <v>34</v>
      </c>
      <c r="E36" s="159" t="s">
        <v>99</v>
      </c>
      <c r="F36" s="159" t="str">
        <f>+VLOOKUP(A36,'Estado SCI'!$A$16:$I$59,9,0)</f>
        <v>Oportunidad de mejora</v>
      </c>
      <c r="G36" s="159">
        <f>+VLOOKUP(A36,'Estado SCI'!$A$16:$L$59,12,0)</f>
        <v>100.851</v>
      </c>
      <c r="H36" s="159">
        <f t="shared" si="0"/>
        <v>36</v>
      </c>
      <c r="I36" s="159" t="str">
        <f>+IF(VLOOKUP(A36,'Estado SCI'!$A$16:$G$59,7,0)="","",VLOOKUP(A36,'Estado SCI'!$A$16:$G$59,7,0))</f>
        <v>En proceso</v>
      </c>
      <c r="J36" s="160">
        <f t="shared" si="2"/>
        <v>0.5</v>
      </c>
      <c r="K36" s="161">
        <f t="shared" si="1"/>
        <v>0.6</v>
      </c>
    </row>
    <row r="37" spans="1:11" x14ac:dyDescent="0.25">
      <c r="A37" s="159" t="s">
        <v>182</v>
      </c>
      <c r="B37" s="159" t="s">
        <v>97</v>
      </c>
      <c r="C37" s="159" t="s">
        <v>178</v>
      </c>
      <c r="D37" s="159" t="s">
        <v>42</v>
      </c>
      <c r="E37" s="159" t="s">
        <v>100</v>
      </c>
      <c r="F37" s="159" t="str">
        <f>+VLOOKUP(A37,'Estado SCI'!$A$16:$I$59,9,0)</f>
        <v>Oportunidad de mejora</v>
      </c>
      <c r="G37" s="159">
        <f>+VLOOKUP(A37,'Estado SCI'!$A$16:$L$59,12,0)</f>
        <v>100.85120000000001</v>
      </c>
      <c r="H37" s="159">
        <f t="shared" si="0"/>
        <v>37</v>
      </c>
      <c r="I37" s="159" t="str">
        <f>+IF(VLOOKUP(A37,'Estado SCI'!$A$16:$G$59,7,0)="","",VLOOKUP(A37,'Estado SCI'!$A$16:$G$59,7,0))</f>
        <v>En proceso</v>
      </c>
      <c r="J37" s="160">
        <f t="shared" si="2"/>
        <v>0.5</v>
      </c>
      <c r="K37" s="161">
        <f t="shared" si="1"/>
        <v>0.6</v>
      </c>
    </row>
    <row r="38" spans="1:11" x14ac:dyDescent="0.25">
      <c r="A38" s="159" t="s">
        <v>183</v>
      </c>
      <c r="B38" s="159" t="s">
        <v>97</v>
      </c>
      <c r="C38" s="159" t="s">
        <v>68</v>
      </c>
      <c r="D38" s="159" t="s">
        <v>46</v>
      </c>
      <c r="E38" s="159" t="s">
        <v>101</v>
      </c>
      <c r="F38" s="159" t="str">
        <f>+VLOOKUP(A38,'Estado SCI'!$A$16:$I$59,9,0)</f>
        <v>Oportunidad de mejora</v>
      </c>
      <c r="G38" s="159">
        <f>+VLOOKUP(A38,'Estado SCI'!$A$16:$L$59,12,0)</f>
        <v>100.85123</v>
      </c>
      <c r="H38" s="159">
        <f t="shared" si="0"/>
        <v>38</v>
      </c>
      <c r="I38" s="159" t="str">
        <f>+IF(VLOOKUP(A38,'Estado SCI'!$A$16:$G$59,7,0)="","",VLOOKUP(A38,'Estado SCI'!$A$16:$G$59,7,0))</f>
        <v>En proceso</v>
      </c>
      <c r="J38" s="160">
        <f t="shared" si="2"/>
        <v>0.5</v>
      </c>
      <c r="K38" s="161">
        <f t="shared" si="1"/>
        <v>0.6</v>
      </c>
    </row>
    <row r="39" spans="1:11" x14ac:dyDescent="0.25">
      <c r="A39" s="159" t="s">
        <v>184</v>
      </c>
      <c r="B39" s="159" t="s">
        <v>97</v>
      </c>
      <c r="C39" s="159" t="s">
        <v>68</v>
      </c>
      <c r="D39" s="159" t="s">
        <v>48</v>
      </c>
      <c r="E39" s="159" t="s">
        <v>102</v>
      </c>
      <c r="F39" s="159" t="str">
        <f>+VLOOKUP(A39,'Estado SCI'!$A$16:$I$59,9,0)</f>
        <v>Mantenimiento del control</v>
      </c>
      <c r="G39" s="159">
        <f>+VLOOKUP(A39,'Estado SCI'!$A$16:$L$59,12,0)</f>
        <v>120.85123400000001</v>
      </c>
      <c r="H39" s="159">
        <f t="shared" si="0"/>
        <v>42</v>
      </c>
      <c r="I39" s="159" t="str">
        <f>+IF(VLOOKUP(A39,'Estado SCI'!$A$16:$G$59,7,0)="","",VLOOKUP(A39,'Estado SCI'!$A$16:$G$59,7,0))</f>
        <v>Si</v>
      </c>
      <c r="J39" s="160">
        <f t="shared" si="2"/>
        <v>1</v>
      </c>
      <c r="K39" s="161">
        <f t="shared" si="1"/>
        <v>0.6</v>
      </c>
    </row>
    <row r="40" spans="1:11" x14ac:dyDescent="0.25">
      <c r="A40" s="159" t="s">
        <v>185</v>
      </c>
      <c r="B40" s="159" t="s">
        <v>97</v>
      </c>
      <c r="C40" s="159" t="s">
        <v>68</v>
      </c>
      <c r="D40" s="159" t="s">
        <v>50</v>
      </c>
      <c r="E40" s="159" t="s">
        <v>105</v>
      </c>
      <c r="F40" s="159" t="str">
        <f>+VLOOKUP(A40,'Estado SCI'!$A$16:$I$59,9,0)</f>
        <v>Deficiencia de control</v>
      </c>
      <c r="G40" s="159">
        <f>+VLOOKUP(A40,'Estado SCI'!$A$16:$L$59,12,0)</f>
        <v>80.851234500000004</v>
      </c>
      <c r="H40" s="159">
        <f t="shared" si="0"/>
        <v>35</v>
      </c>
      <c r="I40" s="159" t="str">
        <f>+IF(VLOOKUP(A40,'Estado SCI'!$A$16:$G$59,7,0)="","",VLOOKUP(A40,'Estado SCI'!$A$16:$G$59,7,0))</f>
        <v>No</v>
      </c>
      <c r="J40" s="160">
        <f t="shared" si="2"/>
        <v>0</v>
      </c>
      <c r="K40" s="161">
        <f t="shared" si="1"/>
        <v>0.6</v>
      </c>
    </row>
    <row r="41" spans="1:11" x14ac:dyDescent="0.25">
      <c r="A41" s="159" t="s">
        <v>186</v>
      </c>
      <c r="B41" s="159" t="s">
        <v>97</v>
      </c>
      <c r="C41" s="159" t="s">
        <v>68</v>
      </c>
      <c r="D41" s="159" t="s">
        <v>34</v>
      </c>
      <c r="E41" s="159" t="s">
        <v>108</v>
      </c>
      <c r="F41" s="159" t="str">
        <f>+VLOOKUP(A41,'Estado SCI'!$A$16:$I$59,9,0)</f>
        <v>Oportunidad de mejora</v>
      </c>
      <c r="G41" s="159">
        <f>+VLOOKUP(A41,'Estado SCI'!$A$16:$L$59,12,0)</f>
        <v>100.85123455999999</v>
      </c>
      <c r="H41" s="159">
        <f t="shared" si="0"/>
        <v>39</v>
      </c>
      <c r="I41" s="159" t="str">
        <f>+IF(VLOOKUP(A41,'Estado SCI'!$A$16:$G$59,7,0)="","",VLOOKUP(A41,'Estado SCI'!$A$16:$G$59,7,0))</f>
        <v>En proceso</v>
      </c>
      <c r="J41" s="160">
        <f t="shared" si="2"/>
        <v>0.5</v>
      </c>
      <c r="K41" s="161">
        <f t="shared" si="1"/>
        <v>0.6</v>
      </c>
    </row>
    <row r="42" spans="1:11" x14ac:dyDescent="0.25">
      <c r="A42" s="159" t="s">
        <v>187</v>
      </c>
      <c r="B42" s="159" t="s">
        <v>97</v>
      </c>
      <c r="C42" s="159" t="s">
        <v>73</v>
      </c>
      <c r="D42" s="159" t="s">
        <v>37</v>
      </c>
      <c r="E42" s="159" t="s">
        <v>109</v>
      </c>
      <c r="F42" s="159" t="str">
        <f>+VLOOKUP(A42,'Estado SCI'!$A$16:$I$59,9,0)</f>
        <v>Mantenimiento del control</v>
      </c>
      <c r="G42" s="159">
        <f>+VLOOKUP(A42,'Estado SCI'!$A$16:$L$59,12,0)</f>
        <v>120.85123456700001</v>
      </c>
      <c r="H42" s="159">
        <f t="shared" si="0"/>
        <v>43</v>
      </c>
      <c r="I42" s="159" t="str">
        <f>+IF(VLOOKUP(A42,'Estado SCI'!$A$16:$G$59,7,0)="","",VLOOKUP(A42,'Estado SCI'!$A$16:$G$59,7,0))</f>
        <v>Si</v>
      </c>
      <c r="J42" s="160">
        <f t="shared" si="2"/>
        <v>1</v>
      </c>
      <c r="K42" s="161">
        <f t="shared" si="1"/>
        <v>0.6</v>
      </c>
    </row>
    <row r="43" spans="1:11" x14ac:dyDescent="0.25">
      <c r="A43" s="159" t="s">
        <v>188</v>
      </c>
      <c r="B43" s="159" t="s">
        <v>97</v>
      </c>
      <c r="C43" s="159" t="s">
        <v>73</v>
      </c>
      <c r="D43" s="159" t="s">
        <v>40</v>
      </c>
      <c r="E43" s="159" t="s">
        <v>110</v>
      </c>
      <c r="F43" s="159" t="str">
        <f>+VLOOKUP(A43,'Estado SCI'!$A$16:$I$59,9,0)</f>
        <v>Oportunidad de mejora</v>
      </c>
      <c r="G43" s="159">
        <f>+VLOOKUP(A43,'Estado SCI'!$A$16:$L$59,12,0)</f>
        <v>100.85123456780001</v>
      </c>
      <c r="H43" s="159">
        <f t="shared" si="0"/>
        <v>40</v>
      </c>
      <c r="I43" s="159" t="str">
        <f>+IF(VLOOKUP(A43,'Estado SCI'!$A$16:$G$59,7,0)="","",VLOOKUP(A43,'Estado SCI'!$A$16:$G$59,7,0))</f>
        <v>En proceso</v>
      </c>
      <c r="J43" s="160">
        <f t="shared" si="2"/>
        <v>0.5</v>
      </c>
      <c r="K43" s="161">
        <f t="shared" si="1"/>
        <v>0.6</v>
      </c>
    </row>
    <row r="44" spans="1:11" x14ac:dyDescent="0.25">
      <c r="A44" s="159" t="s">
        <v>189</v>
      </c>
      <c r="B44" s="159" t="s">
        <v>97</v>
      </c>
      <c r="C44" s="159" t="s">
        <v>73</v>
      </c>
      <c r="D44" s="159" t="s">
        <v>42</v>
      </c>
      <c r="E44" s="159" t="s">
        <v>111</v>
      </c>
      <c r="F44" s="159" t="str">
        <f>+VLOOKUP(A44,'Estado SCI'!$A$16:$I$59,9,0)</f>
        <v>Oportunidad de mejora</v>
      </c>
      <c r="G44" s="159">
        <f>+VLOOKUP(A44,'Estado SCI'!$A$16:$L$59,12,0)</f>
        <v>100.85123456789</v>
      </c>
      <c r="H44" s="159">
        <f t="shared" si="0"/>
        <v>41</v>
      </c>
      <c r="I44" s="159" t="str">
        <f>+IF(VLOOKUP(A44,'Estado SCI'!$A$16:$G$59,7,0)="","",VLOOKUP(A44,'Estado SCI'!$A$16:$G$59,7,0))</f>
        <v>En proceso</v>
      </c>
      <c r="J44" s="160">
        <f t="shared" si="2"/>
        <v>0.5</v>
      </c>
      <c r="K44" s="161">
        <f t="shared" si="1"/>
        <v>0.6</v>
      </c>
    </row>
    <row r="45" spans="1:11" x14ac:dyDescent="0.25">
      <c r="A45" s="159" t="s">
        <v>190</v>
      </c>
      <c r="B45" s="159" t="s">
        <v>97</v>
      </c>
      <c r="C45" s="159" t="s">
        <v>73</v>
      </c>
      <c r="D45" s="159" t="s">
        <v>44</v>
      </c>
      <c r="E45" s="159" t="s">
        <v>112</v>
      </c>
      <c r="F45" s="159" t="str">
        <f>+VLOOKUP(A45,'Estado SCI'!$A$16:$I$59,9,0)</f>
        <v>Mantenimiento del control</v>
      </c>
      <c r="G45" s="159">
        <f>+VLOOKUP(A45,'Estado SCI'!$A$16:$L$59,12,0)</f>
        <v>120.851234567891</v>
      </c>
      <c r="H45" s="159">
        <f t="shared" si="0"/>
        <v>44</v>
      </c>
      <c r="I45" s="159" t="str">
        <f>+IF(VLOOKUP(A45,'Estado SCI'!$A$16:$G$59,7,0)="","",VLOOKUP(A45,'Estado SCI'!$A$16:$G$59,7,0))</f>
        <v>Si</v>
      </c>
      <c r="J45" s="160">
        <f t="shared" si="2"/>
        <v>1</v>
      </c>
      <c r="K45" s="161">
        <f t="shared" si="1"/>
        <v>0.6</v>
      </c>
    </row>
  </sheetData>
  <sheetProtection algorithmName="SHA-512" hashValue="eXgkKlTi9xJKAI7t6Aeb2RaFpkfyF43pI2BIhtxDc7hsl0SqLK8I4Wc7jbZwC5kw3uyIHOBIUXRnh5cC70LKYA==" saltValue="AxKzX6Ar80vT7acQV8rFpQ==" spinCount="100000" sheet="1" objects="1" scenarios="1" selectLockedCells="1"/>
  <autoFilter ref="A1:K4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Instructivo</vt:lpstr>
      <vt:lpstr>Estado SCI</vt:lpstr>
      <vt:lpstr>Análisis Resultados</vt:lpstr>
      <vt:lpstr>Conclusión</vt:lpstr>
      <vt:lpstr>Hoja1</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Sala Juntas Piso 6</dc:creator>
  <cp:keywords/>
  <dc:description/>
  <cp:lastModifiedBy>CONTROL INTERNO</cp:lastModifiedBy>
  <cp:revision/>
  <dcterms:created xsi:type="dcterms:W3CDTF">2020-04-28T13:58:09Z</dcterms:created>
  <dcterms:modified xsi:type="dcterms:W3CDTF">2022-09-29T20:53:02Z</dcterms:modified>
  <cp:category/>
  <cp:contentStatus/>
</cp:coreProperties>
</file>