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0490" windowHeight="6855" activeTab="2"/>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<sst xmlns="http://schemas.openxmlformats.org/spreadsheetml/2006/main" count="514" uniqueCount="243">
  <si>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</si>
  <si>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</si>
  <si>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</si>
  <si>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</si>
  <si>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</si>
  <si>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</si>
  <si>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</si>
  <si>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</si>
  <si>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</si>
  <si>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</si>
  <si>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</si>
  <si>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</si>
  <si>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</si>
  <si>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</si>
  <si>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</si>
  <si>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</si>
  <si>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</si>
  <si>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</si>
  <si>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</si>
  <si>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</si>
  <si>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</si>
  <si>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</si>
  <si>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</si>
  <si>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</si>
  <si>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</si>
  <si>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</si>
  <si>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</si>
  <si>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</si>
  <si>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</si>
  <si>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</si>
  <si>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</si>
  <si>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</si>
  <si>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</si>
  <si>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</si>
  <si>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</si>
  <si>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</si>
  <si>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</si>
  <si>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</si>
  <si>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</si>
  <si>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</si>
  <si>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</si>
  <si>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</si>
  <si>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</si>
  <si>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</si>
  <si>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</si>
  <si>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</si>
  <si>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</si>
  <si>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</si>
  <si>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</si>
  <si>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</si>
  <si>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</si>
  <si>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</si>
  <si>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</si>
  <si>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</si>
  <si>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</si>
  <si>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</si>
  <si>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</si>
  <si>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</si>
  <si>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</si>
  <si>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</si>
  <si>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</si>
  <si>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</si>
  <si>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</si>
  <si>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</si>
  <si>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</si>
  <si>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</si>
  <si>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</si>
  <si>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</si>
  <si>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</si>
  <si>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</si>
  <si>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</si>
  <si>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</si>
  <si>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</si>
  <si>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</si>
  <si>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</si>
  <si>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</si>
  <si>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</si>
  <si>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</si>
  <si>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</si>
  <si>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</si>
  <si>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</si>
  <si>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</si>
  <si>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</si>
  <si>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</si>
  <si>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</si>
  <si>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</si>
  <si>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</si>
  <si>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</si>
  <si>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</si>
  <si>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</si>
  <si>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</si>
  <si>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</si>
  <si>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</si>
  <si>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</si>
  <si>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</si>
  <si>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</si>
  <si>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</si>
  <si>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</si>
  <si>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</si>
  <si>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</si>
  <si>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</si>
  <si>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</si>
  <si>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</si>
  <si>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</si>
  <si>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</si>
  <si>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</si>
  <si>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</si>
  <si>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</si>
  <si>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</si>
  <si>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</si>
  <si>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</si>
  <si>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</si>
  <si>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</si>
  <si>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</si>
  <si>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</si>
  <si>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</si>
  <si>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</si>
  <si>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</si>
  <si>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</si>
  <si>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</si>
  <si>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</si>
  <si>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</si>
  <si>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</si>
  <si>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</si>
  <si>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</si>
  <si>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</si>
  <si>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</si>
  <si>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</si>
  <si>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</si>
  <si>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</si>
  <si>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</si>
  <si>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</si>
  <si>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</si>
  <si>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</si>
  <si>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</si>
  <si>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</si>
  <si>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</si>
  <si>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</si>
  <si>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</si>
  <si>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</si>
  <si>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</si>
  <si>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</si>
  <si>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</si>
  <si>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</si>
  <si>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</si>
  <si>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</si>
  <si>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</si>
  <si>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</si>
  <si>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</si>
  <si>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</si>
  <si>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</si>
  <si>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</si>
  <si>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</si>
  <si>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</si>
  <si>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</si>
  <si>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</si>
  <si>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</si>
  <si>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</si>
  <si>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</si>
  <si>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</si>
  <si>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</si>
  <si>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</si>
  <si>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</si>
  <si>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</si>
  <si>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</si>
  <si>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</si>
  <si>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</si>
  <si>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</si>
  <si>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</si>
  <si>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</si>
  <si>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</si>
  <si>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</si>
  <si>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</si>
  <si>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</si>
  <si>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</si>
  <si>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</si>
  <si>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</si>
  <si>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</si>
  <si>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</si>
  <si>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</si>
  <si>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</si>
  <si>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</si>
  <si>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</si>
  <si>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</si>
  <si>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</si>
  <si>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</si>
  <si>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</si>
  <si>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</si>
  <si>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</si>
  <si>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</si>
  <si>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</si>
  <si>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EMPRESA SOCIAL DEL ESTADO HOSPITAL SAN SEBASTIAN DE IURABA</t>
  </si>
  <si>
    <t>informes a entes de control</t>
  </si>
  <si>
    <t>EL DOCUMENTO ESTA EN PROCESO DE CONSTRUCCION</t>
  </si>
  <si>
    <t>EXISTE RSLN DE ADOPCION</t>
  </si>
  <si>
    <t>LOS PLANES ESTAN CONSTRUIDOS PARA 2020</t>
  </si>
  <si>
    <t>EXISTE UNA ESTRUCTURA ORGANIZATIVA APROBADA POR JUNTA DIRECTIA</t>
  </si>
  <si>
    <t>EXISTE MANUAL DE FUNCIONES DE LA ENTIDAD</t>
  </si>
  <si>
    <t>LOS DOCUMENTOS ESTAN LISTOS Y ARCHIVADOS</t>
  </si>
  <si>
    <t>SE HAN REALIZADOS VARIOS PROCESOS PARA ELLO</t>
  </si>
  <si>
    <t>EN ESTA PARTE SE DEBE ESTABLECER EL PROCESO</t>
  </si>
  <si>
    <t>EXISTEN Y SON UILIZADOS PARA LA RENDICION DE CUENTAS</t>
  </si>
  <si>
    <t>DADO QUE ES UNA ENTIDAD DE SALUD ES PRIORITARIO LA PRESENTACION CONSTANTE DE INFORMES.</t>
  </si>
  <si>
    <t>DE IDENTIFICARSE CAMBIOS SON INFORMADOS PARA MITIGAR SU IMPACTO.</t>
  </si>
  <si>
    <t>EN LOS COMITES  SE ESTUDIAN ESTOS CASOS Y SE DEFINEN ACCIONES.</t>
  </si>
  <si>
    <t>SE VA A REDEFINIR EL MANUAL DE EVALUACION DEL RIESGO Y ALLI SE DEFINIRA.</t>
  </si>
  <si>
    <t>EXISTE PLAN SEGURIDAD DIGITAL Y SE ACTUALIZARA.</t>
  </si>
  <si>
    <t>CADA JEFE DE AREA OPORTUNAMENTE HACE SUS SEGUIMIENTOS Y SE ESTABLECE ACCIONES.</t>
  </si>
  <si>
    <t>EN CIERTOS CASOS QUE SON DETECTADOS LOS RIESGOS SE IDENTIFCAN Y SE PROPONEN AJUSTES</t>
  </si>
  <si>
    <t>ESTABLECIDOS CRONOGRAMA REUNIONES DE COMITES.</t>
  </si>
  <si>
    <t>LAS DECSIONES SON DE LA ALTA GERENCIA CON SUGERENCIAS DE CADA LIDER</t>
  </si>
  <si>
    <t>LAS ACCIONES SE TOMAN ACORDE CON LAS NECESIDADES Y LOS RECURSOS DISPONIBLES.</t>
  </si>
  <si>
    <t>IDENTIFICADO EL PROBLEMA DE DEFINEN ACCIONES DE TRATAMIENTO AL PROBLEMA.</t>
  </si>
  <si>
    <t>EXISTE CRONOGRAMA Y MECANISMOS QUE SE DEBEN ACTUALIZAR.</t>
  </si>
  <si>
    <t>CADA AREA TIENE SU PLAN DE ACCION O ESTRATEGIA PARA MITIGAR MATERIALIZACION DE RIESGOS.</t>
  </si>
  <si>
    <t>EXISTE PLAN ANTICORRUPCION 2020.</t>
  </si>
  <si>
    <t>SE TIENE PERSONAL PROVISIONAL</t>
  </si>
  <si>
    <t>PAGINA WEB,EMISORA LOCAL, BUZONES Y OFICINA COMUNICACIONES TRABAJADORA SOCIAL.</t>
  </si>
  <si>
    <t>SE DEFINEN ACORDE A LA NORMA</t>
  </si>
  <si>
    <t>SE LLEVA CRONOGRAMA DE INFORMES A LOS DIFERENTES ENTES.</t>
  </si>
  <si>
    <t>DOCUMENTOS EN PAGINA WEB DE LA ENTIDAD</t>
  </si>
  <si>
    <t>SE CUENTA CON CAPACIDAD TECNOLOGICA.</t>
  </si>
  <si>
    <t>SE ESTA CONSTRUYENDO O ACTUALIZANDO</t>
  </si>
  <si>
    <t>AJUSTES PERIODICOS A LAS ACTIVIDADES DE MONITOREO PARA EVALUAR MEJOR.</t>
  </si>
  <si>
    <t>SE VALORAN LOS SEGUIMIENTOS A PLANES DE MEJORAMIENTO CON ENTIDADES INTERNAS Y EXTERNAS.</t>
  </si>
  <si>
    <t>A LA FECHA NO SE HA INSTALADO.</t>
  </si>
  <si>
    <t>SE HACEN LAS SUGERENCIAS NECESARIAS PARA EVITAR PROBLEMAS.</t>
  </si>
  <si>
    <t>SE REVISAN PUNTOS CRITICOS QUE PUEDEN AFECTAR EL CUMPLIMIENTO DE METAS.</t>
  </si>
  <si>
    <t>SE FORMULAN PLANES O ESTRATEGIAS PARA CONTROLAR LOS RIESGOS.</t>
  </si>
  <si>
    <t>ES IDEARIO PERO TOCA TOMAR ACCIONES DE CORRECCION PARA SEGUIR LO DISEÑADO.</t>
  </si>
  <si>
    <t>LOS PROBLEMAS SE GESTIONAN BUSCANDO SIEMPRE MENOR AFECTACION POSIBLE.</t>
  </si>
  <si>
    <t>01-01-2020 AL 31-12.2020</t>
  </si>
  <si>
    <t xml:space="preserve">       DEBILIDADES: Se dejo a un lado los proyectos y programas del Plan de Desarrollo de 2020 para dedicarse  a la atencion de la pandemia por covid-19 afectando todos los procesos. FORTALEZAS: Para los servidores publicos de la entidad fue alto el nivel de compromiso para con las directrices establecidas en atencion a la pandemia covid-19.</t>
  </si>
  <si>
    <t>SE REALIZA ANALISIS DE HOJAS DE VIDA PERIODICAMENTE.</t>
  </si>
  <si>
    <t>LA EVALUACION A LOS SERVIDORES SE REALIZADA DENTRO DE LOS TERMINOS LEGALES</t>
  </si>
  <si>
    <t>LA CONCERTACION DE ACTIVIDADES CON EL SEÑOR GERENTE PERMITE MIRAR EN CUALQUIER MOMENTO EL NIVEL DE CUMPLIMIENTO.</t>
  </si>
  <si>
    <t>Este año 2020 mirado desde el punto de vista administrativo para la entidad fue muy traumatico dada la llegada de la pandemia por COVID-19, por tal motivo se dejo practicamente a un lado los programas y proyectos del Plan de Desarrollo para centrarse y adecuarse a las disposiciones emanadas del gobierno central para la atencion a los pacientes acorde con los protocolos establecidos a nivel nacional y casi que mundial. Por ello se realizo la primera reunion del Comite Institucional de Control Interno y se trabajo el primer componente del Modelo Estandar de control Interno que fue Ambiente de Control. Esperamos seguir avanzando.</t>
  </si>
  <si>
    <t>Dentro del proceso de implementacion se espera realizar una reunion con todos los lideres de procesos para establecer con ellos los niveles de responsabilidad que cada quien debe asumir en el rol del control interno y asi avanzar en el desarrollo efecivo del MECI..</t>
  </si>
  <si>
    <t>Si se cuenta con las lineas de defensa que permiten la toma de decisiones frente al control solo basta la buena voluntad de aplicación dada la gran experiencia de la mayoria de sus servidores  de tal manera que la alta direccion pueda aplicarlas y que seran decisiones tomadas dentro de la normatividad vigente y de seguro que mejora el sistema de control interno.</t>
  </si>
  <si>
    <t>DEBILIDADES: La coyuntura de la pandemia por  covid-19 no permitio realizar evaluaciones durante 2020 sobre los procesos normales de la entidad. FORTALEZA. La experticia de los servidores publicos en su que hacer, les permite mantener una linea de defensa activa.</t>
  </si>
  <si>
    <t>DEBILIDADES: Las cuarentenas, el distanciamiento social, el trabajo en casa fueron factores que incidieron en las actividades de control.  FORTALEZAS: El conocimiento que cada servidor publico tiene y que va llevando en los procesos para su implementacion.</t>
  </si>
  <si>
    <t>DEBILIDADES. No contar con servidor de comunicacion para la comunicacion inmediata en la entidad. FORTALEZA: Se cuenta con canales de comunicacion como pagina webb, grupos de whatts para una cominicacion efectiva interna y medios de comunicación externa como la radio.</t>
  </si>
  <si>
    <t>DEBILIDADES: Las condiciones sicocociales producto de los efectos de la pandemia por covid-19 no generaban condiciones aptas para monitoreos. FORTALEZAS: La experiencia de los serrvidores publicos en su tarea dio la confianza necesaria para la realizacion de sus procesos dentro de la institucion.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</si>
</sst>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1"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22"/>
      <color theme="1"/>
      <name val="Calibri"/>
      <family val="2"/>
      <scheme val="minor"/>
    </font>
    <font>
      <sz val="24"/>
      <color theme="1"/>
      <name val="Calibri"/>
      <family val="2"/>
      <scheme val="minor"/>
    </font>
    <font>
      <sz val="20"/>
      <name val="Arial"/>
      <family val="2"/>
    </font>
    <font>
      <sz val="26"/>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6">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3" fillId="4" borderId="2" xfId="0" applyNumberFormat="1" applyFont="1" applyFill="1" applyBorder="1" applyAlignment="1" applyProtection="1">
      <alignment horizontal="center" vertical="top" wrapText="1"/>
      <protection locked="0"/>
    </xf>
    <xf numFmtId="49" fontId="53" fillId="4" borderId="84" xfId="0" applyNumberFormat="1" applyFont="1" applyFill="1" applyBorder="1" applyAlignment="1" applyProtection="1">
      <alignment horizontal="center" vertical="top" wrapText="1"/>
      <protection locked="0"/>
    </xf>
    <xf numFmtId="49" fontId="57" fillId="4" borderId="3" xfId="0" applyNumberFormat="1" applyFont="1" applyFill="1" applyBorder="1" applyAlignment="1" applyProtection="1">
      <alignment horizontal="center" vertical="top" wrapText="1"/>
      <protection locked="0"/>
    </xf>
    <xf numFmtId="49" fontId="57" fillId="4" borderId="85" xfId="0" applyNumberFormat="1" applyFont="1" applyFill="1" applyBorder="1" applyAlignment="1" applyProtection="1">
      <alignment horizontal="center" vertical="top" wrapText="1"/>
      <protection locked="0"/>
    </xf>
    <xf numFmtId="49" fontId="58" fillId="4" borderId="4" xfId="0" applyNumberFormat="1" applyFont="1" applyFill="1" applyBorder="1" applyAlignment="1" applyProtection="1">
      <alignment horizontal="center" vertical="top" wrapText="1"/>
      <protection locked="0"/>
    </xf>
    <xf numFmtId="49" fontId="58" fillId="4" borderId="86" xfId="0" applyNumberFormat="1" applyFont="1" applyFill="1" applyBorder="1" applyAlignment="1" applyProtection="1">
      <alignment horizontal="center" vertical="top" wrapText="1"/>
      <protection locked="0"/>
    </xf>
    <xf numFmtId="0" fontId="57" fillId="0" borderId="24" xfId="0" applyFont="1" applyBorder="1" applyAlignment="1" applyProtection="1">
      <alignment horizontal="center" wrapText="1"/>
      <protection locked="0"/>
    </xf>
    <xf numFmtId="0" fontId="57" fillId="0" borderId="1" xfId="0" applyFont="1" applyBorder="1" applyAlignment="1" applyProtection="1">
      <alignment horizontal="center" wrapText="1"/>
      <protection locked="0"/>
    </xf>
    <xf numFmtId="0" fontId="57" fillId="0" borderId="25" xfId="0" applyFont="1" applyBorder="1" applyAlignment="1" applyProtection="1">
      <alignment horizontal="center" wrapText="1"/>
      <protection locked="0"/>
    </xf>
    <xf numFmtId="0" fontId="58" fillId="0" borderId="24" xfId="0" applyFont="1" applyBorder="1" applyAlignment="1" applyProtection="1">
      <alignment horizontal="center" wrapText="1"/>
      <protection locked="0"/>
    </xf>
    <xf numFmtId="0" fontId="58" fillId="0" borderId="1" xfId="0" applyFont="1" applyBorder="1" applyAlignment="1" applyProtection="1">
      <alignment horizontal="center" wrapText="1"/>
      <protection locked="0"/>
    </xf>
    <xf numFmtId="0" fontId="58" fillId="0" borderId="25" xfId="0" applyFont="1" applyBorder="1" applyAlignment="1" applyProtection="1">
      <alignment horizontal="center" wrapText="1"/>
      <protection locked="0"/>
    </xf>
    <xf numFmtId="0" fontId="60" fillId="0" borderId="24" xfId="0" applyFont="1" applyBorder="1" applyAlignment="1" applyProtection="1">
      <alignment horizontal="center" wrapText="1"/>
      <protection locked="0"/>
    </xf>
    <xf numFmtId="0" fontId="60" fillId="0" borderId="1" xfId="0" applyFont="1" applyBorder="1" applyAlignment="1" applyProtection="1">
      <alignment horizontal="center" wrapText="1"/>
      <protection locked="0"/>
    </xf>
    <xf numFmtId="0" fontId="60" fillId="0" borderId="25" xfId="0" applyFont="1" applyBorder="1" applyAlignment="1" applyProtection="1">
      <alignment horizontal="center" wrapText="1"/>
      <protection locked="0"/>
    </xf>
    <xf numFmtId="0" fontId="52" fillId="12" borderId="0" xfId="0" applyFont="1" applyFill="1" applyBorder="1" applyAlignment="1">
      <alignment horizontal="center" vertical="center" wrapText="1"/>
    </xf>
    <xf numFmtId="0" fontId="59" fillId="0" borderId="24" xfId="0" applyFont="1" applyFill="1" applyBorder="1" applyAlignment="1" applyProtection="1">
      <alignment horizontal="center" vertical="center" wrapText="1"/>
      <protection locked="0"/>
    </xf>
    <xf numFmtId="0" fontId="59" fillId="0" borderId="1" xfId="0" applyFont="1" applyFill="1" applyBorder="1" applyAlignment="1" applyProtection="1">
      <alignment horizontal="center" vertical="center" wrapText="1"/>
      <protection locked="0"/>
    </xf>
    <xf numFmtId="0" fontId="59" fillId="0" borderId="25" xfId="0" applyFont="1" applyFill="1" applyBorder="1" applyAlignment="1" applyProtection="1">
      <alignment horizontal="center" vertical="center" wrapText="1"/>
      <protection locked="0"/>
    </xf>
    <xf numFmtId="0" fontId="0" fillId="0" borderId="73" xfId="0" applyBorder="1" applyAlignment="1">
      <alignment horizontal="center"/>
    </xf>
    <xf numFmtId="0" fontId="0" fillId="0" borderId="1" xfId="0" applyBorder="1" applyAlignment="1">
      <alignment horizontal="center"/>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3" zoomScale="90" zoomScaleNormal="90" workbookViewId="0">
      <selection activeCell="B6" sqref="B6:H7"/>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64" t="s">
        <v>0</v>
      </c>
      <c r="C2" s="165"/>
      <c r="D2" s="165"/>
      <c r="E2" s="165"/>
      <c r="F2" s="165"/>
      <c r="G2" s="165"/>
      <c r="H2" s="166"/>
    </row>
    <row r="3" spans="2:8" ht="65.25" customHeight="1" x14ac:dyDescent="0.2">
      <c r="B3" s="167" t="s">
        <v>1</v>
      </c>
      <c r="C3" s="168"/>
      <c r="D3" s="168"/>
      <c r="E3" s="168"/>
      <c r="F3" s="168"/>
      <c r="G3" s="168"/>
      <c r="H3" s="169"/>
    </row>
    <row r="4" spans="2:8" ht="82.5" customHeight="1" x14ac:dyDescent="0.2">
      <c r="B4" s="167"/>
      <c r="C4" s="168"/>
      <c r="D4" s="168"/>
      <c r="E4" s="168"/>
      <c r="F4" s="168"/>
      <c r="G4" s="168"/>
      <c r="H4" s="169"/>
    </row>
    <row r="5" spans="2:8" ht="21.75" customHeight="1" x14ac:dyDescent="0.2">
      <c r="B5" s="170" t="s">
        <v>2</v>
      </c>
      <c r="C5" s="171"/>
      <c r="D5" s="171"/>
      <c r="E5" s="171"/>
      <c r="F5" s="171"/>
      <c r="G5" s="171"/>
      <c r="H5" s="172"/>
    </row>
    <row r="6" spans="2:8" ht="42" customHeight="1" x14ac:dyDescent="0.2">
      <c r="B6" s="173" t="s">
        <v>3</v>
      </c>
      <c r="C6" s="174"/>
      <c r="D6" s="174"/>
      <c r="E6" s="174"/>
      <c r="F6" s="174"/>
      <c r="G6" s="174"/>
      <c r="H6" s="175"/>
    </row>
    <row r="7" spans="2:8" ht="14.25" customHeight="1" x14ac:dyDescent="0.2">
      <c r="B7" s="173"/>
      <c r="C7" s="174"/>
      <c r="D7" s="174"/>
      <c r="E7" s="174"/>
      <c r="F7" s="174"/>
      <c r="G7" s="174"/>
      <c r="H7" s="175"/>
    </row>
    <row r="8" spans="2:8" ht="12.75" customHeight="1" thickBot="1" x14ac:dyDescent="0.25">
      <c r="B8" s="57"/>
      <c r="C8" s="51"/>
      <c r="D8" s="67"/>
      <c r="E8" s="68"/>
      <c r="F8" s="68"/>
      <c r="G8" s="65"/>
      <c r="H8" s="66"/>
    </row>
    <row r="9" spans="2:8" ht="21" customHeight="1" thickTop="1" x14ac:dyDescent="0.2">
      <c r="B9" s="57"/>
      <c r="C9" s="176" t="s">
        <v>4</v>
      </c>
      <c r="D9" s="177"/>
      <c r="E9" s="178" t="s">
        <v>5</v>
      </c>
      <c r="F9" s="179"/>
      <c r="G9" s="51"/>
      <c r="H9" s="59"/>
    </row>
    <row r="10" spans="2:8" ht="37.5" customHeight="1" x14ac:dyDescent="0.2">
      <c r="B10" s="57"/>
      <c r="C10" s="180" t="s">
        <v>6</v>
      </c>
      <c r="D10" s="181"/>
      <c r="E10" s="182" t="s">
        <v>7</v>
      </c>
      <c r="F10" s="183"/>
      <c r="G10" s="51"/>
      <c r="H10" s="59"/>
    </row>
    <row r="11" spans="2:8" ht="39.75" customHeight="1" x14ac:dyDescent="0.2">
      <c r="B11" s="57"/>
      <c r="C11" s="184" t="s">
        <v>8</v>
      </c>
      <c r="D11" s="185"/>
      <c r="E11" s="186" t="s">
        <v>9</v>
      </c>
      <c r="F11" s="187"/>
      <c r="G11" s="51"/>
      <c r="H11" s="59"/>
    </row>
    <row r="12" spans="2:8" ht="59.25" customHeight="1" x14ac:dyDescent="0.2">
      <c r="B12" s="57"/>
      <c r="C12" s="184" t="s">
        <v>10</v>
      </c>
      <c r="D12" s="185"/>
      <c r="E12" s="188" t="s">
        <v>11</v>
      </c>
      <c r="F12" s="189"/>
      <c r="G12" s="51"/>
      <c r="H12" s="59"/>
    </row>
    <row r="13" spans="2:8" ht="33.75" customHeight="1" x14ac:dyDescent="0.2">
      <c r="B13" s="57"/>
      <c r="C13" s="194" t="s">
        <v>12</v>
      </c>
      <c r="D13" s="195"/>
      <c r="E13" s="186" t="s">
        <v>13</v>
      </c>
      <c r="F13" s="187"/>
      <c r="G13" s="51"/>
      <c r="H13" s="59"/>
    </row>
    <row r="14" spans="2:8" ht="19.5" customHeight="1" x14ac:dyDescent="0.2">
      <c r="B14" s="57"/>
      <c r="C14" s="63"/>
      <c r="D14" s="63"/>
      <c r="E14" s="64"/>
      <c r="F14" s="64"/>
      <c r="G14" s="51"/>
      <c r="H14" s="59"/>
    </row>
    <row r="15" spans="2:8" ht="37.5" customHeight="1" thickBot="1" x14ac:dyDescent="0.25">
      <c r="B15" s="190" t="s">
        <v>14</v>
      </c>
      <c r="C15" s="191"/>
      <c r="D15" s="191"/>
      <c r="E15" s="191"/>
      <c r="F15" s="191"/>
      <c r="G15" s="191"/>
      <c r="H15" s="192"/>
    </row>
    <row r="16" spans="2:8" ht="27.75" customHeight="1" thickBot="1" x14ac:dyDescent="0.25">
      <c r="B16" s="57"/>
      <c r="C16" s="196" t="s">
        <v>15</v>
      </c>
      <c r="D16" s="197"/>
      <c r="E16" s="197" t="s">
        <v>16</v>
      </c>
      <c r="F16" s="208"/>
      <c r="G16" s="51"/>
      <c r="H16" s="59"/>
    </row>
    <row r="17" spans="2:8" ht="27.75" customHeight="1" x14ac:dyDescent="0.2">
      <c r="B17" s="57"/>
      <c r="C17" s="209" t="s">
        <v>17</v>
      </c>
      <c r="D17" s="210"/>
      <c r="E17" s="211" t="s">
        <v>18</v>
      </c>
      <c r="F17" s="212"/>
      <c r="G17" s="101"/>
      <c r="H17" s="59"/>
    </row>
    <row r="18" spans="2:8" ht="41.25" customHeight="1" x14ac:dyDescent="0.2">
      <c r="B18" s="57"/>
      <c r="C18" s="198" t="s">
        <v>19</v>
      </c>
      <c r="D18" s="199"/>
      <c r="E18" s="200" t="s">
        <v>20</v>
      </c>
      <c r="F18" s="201"/>
      <c r="G18" s="102"/>
      <c r="H18" s="59"/>
    </row>
    <row r="19" spans="2:8" ht="37.5" customHeight="1" thickBot="1" x14ac:dyDescent="0.25">
      <c r="B19" s="57"/>
      <c r="C19" s="202" t="s">
        <v>21</v>
      </c>
      <c r="D19" s="203"/>
      <c r="E19" s="204" t="s">
        <v>22</v>
      </c>
      <c r="F19" s="205"/>
      <c r="G19" s="102"/>
      <c r="H19" s="59"/>
    </row>
    <row r="20" spans="2:8" ht="11.25" customHeight="1" x14ac:dyDescent="0.2">
      <c r="B20" s="52"/>
      <c r="C20" s="53"/>
      <c r="D20" s="53"/>
      <c r="E20" s="53"/>
      <c r="F20" s="53"/>
      <c r="G20" s="53"/>
      <c r="H20" s="54"/>
    </row>
    <row r="21" spans="2:8" ht="14.25" customHeight="1" x14ac:dyDescent="0.2">
      <c r="B21" s="55"/>
      <c r="C21" s="206"/>
      <c r="D21" s="206"/>
      <c r="E21" s="207"/>
      <c r="F21" s="207"/>
      <c r="G21" s="207"/>
      <c r="H21" s="56"/>
    </row>
    <row r="22" spans="2:8" ht="36" customHeight="1" x14ac:dyDescent="0.2">
      <c r="B22" s="190" t="s">
        <v>23</v>
      </c>
      <c r="C22" s="191"/>
      <c r="D22" s="191"/>
      <c r="E22" s="191"/>
      <c r="F22" s="191"/>
      <c r="G22" s="191"/>
      <c r="H22" s="192"/>
    </row>
    <row r="23" spans="2:8" ht="13.5" x14ac:dyDescent="0.2">
      <c r="B23" s="57"/>
      <c r="C23" s="58"/>
      <c r="D23" s="58"/>
      <c r="E23" s="193"/>
      <c r="F23" s="193"/>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D54" zoomScale="80" zoomScaleNormal="80" workbookViewId="0">
      <selection activeCell="D50" sqref="D50:D53"/>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44" t="s">
        <v>24</v>
      </c>
      <c r="C14" s="244"/>
      <c r="D14" s="244"/>
      <c r="E14" s="244"/>
      <c r="F14" s="244"/>
      <c r="G14" s="244"/>
      <c r="H14" s="244"/>
      <c r="I14" s="244"/>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55" t="s">
        <v>31</v>
      </c>
      <c r="C16" s="219" t="s">
        <v>32</v>
      </c>
      <c r="D16" s="252" t="s">
        <v>33</v>
      </c>
      <c r="E16" s="81" t="s">
        <v>34</v>
      </c>
      <c r="F16" s="82" t="s">
        <v>35</v>
      </c>
      <c r="G16" s="112" t="s">
        <v>39</v>
      </c>
      <c r="H16" s="113" t="s">
        <v>193</v>
      </c>
      <c r="I16" s="104"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63" x14ac:dyDescent="0.25">
      <c r="A17" s="103" t="str">
        <f t="shared" ref="A17:A27" si="1">1&amp;E17</f>
        <v>1b</v>
      </c>
      <c r="B17" s="256"/>
      <c r="C17" s="220"/>
      <c r="D17" s="253"/>
      <c r="E17" s="83" t="s">
        <v>37</v>
      </c>
      <c r="F17" s="84" t="s">
        <v>38</v>
      </c>
      <c r="G17" s="114" t="s">
        <v>39</v>
      </c>
      <c r="H17" s="115" t="s">
        <v>194</v>
      </c>
      <c r="I17" s="106" t="str">
        <f t="shared" ref="I17:I59" si="2">+IF(G17="Si","Mantenimiento del control",IF(G17="En proceso","Oportunidad de mejora","Deficiencia de control"))</f>
        <v>Mantenimiento del control</v>
      </c>
      <c r="J17" s="107">
        <f t="shared" si="0"/>
        <v>20</v>
      </c>
      <c r="K17" s="105">
        <v>0.1234</v>
      </c>
      <c r="L17" s="105">
        <f t="shared" ref="L17:L59" si="3">+J17+K17</f>
        <v>20.1234</v>
      </c>
    </row>
    <row r="18" spans="1:32" s="49" customFormat="1" ht="64.5" customHeight="1" x14ac:dyDescent="0.25">
      <c r="A18" s="103" t="str">
        <f t="shared" si="1"/>
        <v>1c</v>
      </c>
      <c r="B18" s="256"/>
      <c r="C18" s="220"/>
      <c r="D18" s="253"/>
      <c r="E18" s="83" t="s">
        <v>40</v>
      </c>
      <c r="F18" s="85" t="s">
        <v>41</v>
      </c>
      <c r="G18" s="116" t="s">
        <v>39</v>
      </c>
      <c r="H18" s="117" t="s">
        <v>195</v>
      </c>
      <c r="I18" s="108" t="str">
        <f t="shared" si="2"/>
        <v>Mantenimiento del control</v>
      </c>
      <c r="J18" s="107">
        <f t="shared" si="0"/>
        <v>20</v>
      </c>
      <c r="K18" s="105">
        <v>0.12345</v>
      </c>
      <c r="L18" s="105">
        <f t="shared" si="3"/>
        <v>20.123449999999998</v>
      </c>
    </row>
    <row r="19" spans="1:32" s="49" customFormat="1" ht="37.5" customHeight="1" x14ac:dyDescent="0.25">
      <c r="A19" s="103" t="str">
        <f t="shared" si="1"/>
        <v>1d</v>
      </c>
      <c r="B19" s="256"/>
      <c r="C19" s="220"/>
      <c r="D19" s="253"/>
      <c r="E19" s="83" t="s">
        <v>42</v>
      </c>
      <c r="F19" s="85" t="s">
        <v>43</v>
      </c>
      <c r="G19" s="116" t="s">
        <v>39</v>
      </c>
      <c r="H19" s="117" t="s">
        <v>196</v>
      </c>
      <c r="I19" s="108" t="str">
        <f t="shared" si="2"/>
        <v>Mantenimiento del control</v>
      </c>
      <c r="J19" s="107">
        <f t="shared" si="0"/>
        <v>20</v>
      </c>
      <c r="K19" s="105">
        <v>0.123456</v>
      </c>
      <c r="L19" s="105">
        <f t="shared" si="3"/>
        <v>20.123456000000001</v>
      </c>
    </row>
    <row r="20" spans="1:32" s="49" customFormat="1" ht="37.5" customHeight="1" x14ac:dyDescent="0.25">
      <c r="A20" s="103" t="str">
        <f t="shared" si="1"/>
        <v>1e</v>
      </c>
      <c r="B20" s="256"/>
      <c r="C20" s="220"/>
      <c r="D20" s="253"/>
      <c r="E20" s="83" t="s">
        <v>44</v>
      </c>
      <c r="F20" s="85" t="s">
        <v>45</v>
      </c>
      <c r="G20" s="116" t="s">
        <v>39</v>
      </c>
      <c r="H20" s="117" t="s">
        <v>197</v>
      </c>
      <c r="I20" s="108" t="str">
        <f t="shared" si="2"/>
        <v>Mantenimiento del control</v>
      </c>
      <c r="J20" s="107">
        <f t="shared" si="0"/>
        <v>20</v>
      </c>
      <c r="K20" s="105">
        <v>0.12345678</v>
      </c>
      <c r="L20" s="105">
        <f t="shared" si="3"/>
        <v>20.123456780000001</v>
      </c>
    </row>
    <row r="21" spans="1:32" s="49" customFormat="1" ht="63.75" customHeight="1" x14ac:dyDescent="0.25">
      <c r="A21" s="103" t="str">
        <f t="shared" si="1"/>
        <v>1f</v>
      </c>
      <c r="B21" s="256"/>
      <c r="C21" s="220"/>
      <c r="D21" s="253"/>
      <c r="E21" s="83" t="s">
        <v>46</v>
      </c>
      <c r="F21" s="85" t="s">
        <v>47</v>
      </c>
      <c r="G21" s="116" t="s">
        <v>39</v>
      </c>
      <c r="H21" s="117" t="s">
        <v>198</v>
      </c>
      <c r="I21" s="108" t="str">
        <f t="shared" si="2"/>
        <v>Mantenimiento del control</v>
      </c>
      <c r="J21" s="107">
        <f t="shared" si="0"/>
        <v>20</v>
      </c>
      <c r="K21" s="105">
        <v>0.123456789</v>
      </c>
      <c r="L21" s="105">
        <f t="shared" si="3"/>
        <v>20.123456788999999</v>
      </c>
    </row>
    <row r="22" spans="1:32" s="49" customFormat="1" ht="65.25" customHeight="1" x14ac:dyDescent="0.25">
      <c r="A22" s="103" t="str">
        <f t="shared" si="1"/>
        <v>1g</v>
      </c>
      <c r="B22" s="256"/>
      <c r="C22" s="220"/>
      <c r="D22" s="253"/>
      <c r="E22" s="83" t="s">
        <v>48</v>
      </c>
      <c r="F22" s="85" t="s">
        <v>49</v>
      </c>
      <c r="G22" s="116" t="s">
        <v>39</v>
      </c>
      <c r="H22" s="117" t="s">
        <v>233</v>
      </c>
      <c r="I22" s="108" t="str">
        <f t="shared" si="2"/>
        <v>Mantenimiento del control</v>
      </c>
      <c r="J22" s="107">
        <f t="shared" si="0"/>
        <v>20</v>
      </c>
      <c r="K22" s="105">
        <v>0.12345678910000001</v>
      </c>
      <c r="L22" s="105">
        <f t="shared" si="3"/>
        <v>20.1234567891</v>
      </c>
    </row>
    <row r="23" spans="1:32" s="49" customFormat="1" ht="62.25" customHeight="1" x14ac:dyDescent="0.25">
      <c r="A23" s="103" t="str">
        <f t="shared" si="1"/>
        <v>1h</v>
      </c>
      <c r="B23" s="256"/>
      <c r="C23" s="220"/>
      <c r="D23" s="253"/>
      <c r="E23" s="83" t="s">
        <v>50</v>
      </c>
      <c r="F23" s="85" t="s">
        <v>51</v>
      </c>
      <c r="G23" s="116" t="s">
        <v>39</v>
      </c>
      <c r="H23" s="117" t="s">
        <v>199</v>
      </c>
      <c r="I23" s="108" t="str">
        <f t="shared" si="2"/>
        <v>Mantenimiento del control</v>
      </c>
      <c r="J23" s="107">
        <f t="shared" si="0"/>
        <v>20</v>
      </c>
      <c r="K23" s="105">
        <v>0.12345678911999999</v>
      </c>
      <c r="L23" s="105">
        <f t="shared" si="3"/>
        <v>20.123456789119999</v>
      </c>
    </row>
    <row r="24" spans="1:32" s="49" customFormat="1" ht="57.75" customHeight="1" x14ac:dyDescent="0.25">
      <c r="A24" s="103" t="str">
        <f t="shared" si="1"/>
        <v>1i</v>
      </c>
      <c r="B24" s="256"/>
      <c r="C24" s="220"/>
      <c r="D24" s="253"/>
      <c r="E24" s="83" t="s">
        <v>52</v>
      </c>
      <c r="F24" s="85" t="s">
        <v>53</v>
      </c>
      <c r="G24" s="116" t="s">
        <v>39</v>
      </c>
      <c r="H24" s="117" t="s">
        <v>234</v>
      </c>
      <c r="I24" s="108" t="str">
        <f t="shared" si="2"/>
        <v>Mantenimiento del control</v>
      </c>
      <c r="J24" s="107">
        <f t="shared" si="0"/>
        <v>20</v>
      </c>
      <c r="K24" s="105">
        <v>0.123456789123</v>
      </c>
      <c r="L24" s="105">
        <f t="shared" si="3"/>
        <v>20.123456789123001</v>
      </c>
    </row>
    <row r="25" spans="1:32" s="49" customFormat="1" ht="52.5" customHeight="1" x14ac:dyDescent="0.25">
      <c r="A25" s="103" t="str">
        <f t="shared" si="1"/>
        <v>1j</v>
      </c>
      <c r="B25" s="256"/>
      <c r="C25" s="220"/>
      <c r="D25" s="253"/>
      <c r="E25" s="83" t="s">
        <v>54</v>
      </c>
      <c r="F25" s="85" t="s">
        <v>55</v>
      </c>
      <c r="G25" s="116" t="s">
        <v>36</v>
      </c>
      <c r="H25" s="117" t="s">
        <v>200</v>
      </c>
      <c r="I25" s="108" t="str">
        <f t="shared" si="2"/>
        <v>Deficiencia de control</v>
      </c>
      <c r="J25" s="107">
        <f t="shared" si="0"/>
        <v>0</v>
      </c>
      <c r="K25" s="105">
        <v>0.1234567891234</v>
      </c>
      <c r="L25" s="105">
        <f t="shared" si="3"/>
        <v>0.1234567891234</v>
      </c>
    </row>
    <row r="26" spans="1:32" s="49" customFormat="1" ht="42" customHeight="1" x14ac:dyDescent="0.25">
      <c r="A26" s="103" t="str">
        <f t="shared" si="1"/>
        <v>1k</v>
      </c>
      <c r="B26" s="256"/>
      <c r="C26" s="220"/>
      <c r="D26" s="253"/>
      <c r="E26" s="83" t="s">
        <v>56</v>
      </c>
      <c r="F26" s="85" t="s">
        <v>57</v>
      </c>
      <c r="G26" s="116" t="s">
        <v>39</v>
      </c>
      <c r="H26" s="117" t="s">
        <v>201</v>
      </c>
      <c r="I26" s="108" t="str">
        <f t="shared" si="2"/>
        <v>Mantenimiento del control</v>
      </c>
      <c r="J26" s="107">
        <f t="shared" si="0"/>
        <v>20</v>
      </c>
      <c r="K26" s="105">
        <v>0.12345678912345</v>
      </c>
      <c r="L26" s="105">
        <f t="shared" si="3"/>
        <v>20.123456789123448</v>
      </c>
    </row>
    <row r="27" spans="1:32" s="49" customFormat="1" ht="50.25" thickBot="1" x14ac:dyDescent="0.3">
      <c r="A27" s="103" t="str">
        <f t="shared" si="1"/>
        <v>1l</v>
      </c>
      <c r="B27" s="257"/>
      <c r="C27" s="221"/>
      <c r="D27" s="254"/>
      <c r="E27" s="86" t="s">
        <v>58</v>
      </c>
      <c r="F27" s="87" t="s">
        <v>59</v>
      </c>
      <c r="G27" s="118" t="s">
        <v>39</v>
      </c>
      <c r="H27" s="119" t="s">
        <v>202</v>
      </c>
      <c r="I27" s="109" t="str">
        <f t="shared" si="2"/>
        <v>Mantenimiento del control</v>
      </c>
      <c r="J27" s="107">
        <f t="shared" si="0"/>
        <v>20</v>
      </c>
      <c r="K27" s="105">
        <v>0.12345678912345601</v>
      </c>
      <c r="L27" s="105">
        <f t="shared" si="3"/>
        <v>20.123456789123455</v>
      </c>
    </row>
    <row r="28" spans="1:32" s="49" customFormat="1" ht="44.25" customHeight="1" x14ac:dyDescent="0.25">
      <c r="A28" s="103" t="str">
        <f>2&amp;E28</f>
        <v>2a</v>
      </c>
      <c r="B28" s="258" t="s">
        <v>60</v>
      </c>
      <c r="C28" s="222" t="s">
        <v>61</v>
      </c>
      <c r="D28" s="261" t="s">
        <v>62</v>
      </c>
      <c r="E28" s="81" t="s">
        <v>34</v>
      </c>
      <c r="F28" s="82" t="s">
        <v>63</v>
      </c>
      <c r="G28" s="112" t="s">
        <v>39</v>
      </c>
      <c r="H28" s="113" t="s">
        <v>203</v>
      </c>
      <c r="I28" s="104" t="str">
        <f t="shared" si="2"/>
        <v>Mantenimiento del control</v>
      </c>
      <c r="J28" s="105">
        <f>+IF(G28="Si",40,IF(G28="En proceso",30,20))</f>
        <v>40</v>
      </c>
      <c r="K28" s="105">
        <v>0.23</v>
      </c>
      <c r="L28" s="105">
        <f t="shared" si="3"/>
        <v>40.229999999999997</v>
      </c>
    </row>
    <row r="29" spans="1:32" s="49" customFormat="1" ht="63" x14ac:dyDescent="0.25">
      <c r="A29" s="103" t="str">
        <f t="shared" ref="A29:A31" si="4">2&amp;E29</f>
        <v>2b</v>
      </c>
      <c r="B29" s="259"/>
      <c r="C29" s="223"/>
      <c r="D29" s="237"/>
      <c r="E29" s="83" t="s">
        <v>37</v>
      </c>
      <c r="F29" s="85" t="s">
        <v>64</v>
      </c>
      <c r="G29" s="116" t="s">
        <v>39</v>
      </c>
      <c r="H29" s="117" t="s">
        <v>204</v>
      </c>
      <c r="I29" s="108" t="str">
        <f t="shared" si="2"/>
        <v>Mantenimiento del control</v>
      </c>
      <c r="J29" s="105">
        <f>+IF(G29="Si",40,IF(G29="En proceso",30,20))</f>
        <v>40</v>
      </c>
      <c r="K29" s="105">
        <v>0.23400000000000001</v>
      </c>
      <c r="L29" s="105">
        <f t="shared" si="3"/>
        <v>40.234000000000002</v>
      </c>
    </row>
    <row r="30" spans="1:32" s="49" customFormat="1" ht="47.25" x14ac:dyDescent="0.25">
      <c r="A30" s="103" t="str">
        <f t="shared" si="4"/>
        <v>2c</v>
      </c>
      <c r="B30" s="259"/>
      <c r="C30" s="223"/>
      <c r="D30" s="237"/>
      <c r="E30" s="83" t="s">
        <v>40</v>
      </c>
      <c r="F30" s="85" t="s">
        <v>65</v>
      </c>
      <c r="G30" s="116" t="s">
        <v>76</v>
      </c>
      <c r="H30" s="117" t="s">
        <v>205</v>
      </c>
      <c r="I30" s="108" t="str">
        <f t="shared" si="2"/>
        <v>Oportunidad de mejora</v>
      </c>
      <c r="J30" s="105">
        <f>+IF(G30="Si",40,IF(G30="En proceso",30,20))</f>
        <v>30</v>
      </c>
      <c r="K30" s="105">
        <v>0.23449999999999999</v>
      </c>
      <c r="L30" s="105">
        <f t="shared" si="3"/>
        <v>30.234500000000001</v>
      </c>
    </row>
    <row r="31" spans="1:32" s="49" customFormat="1" ht="63.75" thickBot="1" x14ac:dyDescent="0.3">
      <c r="A31" s="103" t="str">
        <f t="shared" si="4"/>
        <v>2d</v>
      </c>
      <c r="B31" s="260"/>
      <c r="C31" s="224"/>
      <c r="D31" s="262"/>
      <c r="E31" s="86" t="s">
        <v>42</v>
      </c>
      <c r="F31" s="87" t="s">
        <v>66</v>
      </c>
      <c r="G31" s="118" t="s">
        <v>39</v>
      </c>
      <c r="H31" s="119" t="s">
        <v>206</v>
      </c>
      <c r="I31" s="109" t="str">
        <f t="shared" si="2"/>
        <v>Mantenimiento del control</v>
      </c>
      <c r="J31" s="105">
        <f>+IF(G31="Si",40,IF(G31="En proceso",30,20))</f>
        <v>40</v>
      </c>
      <c r="K31" s="105">
        <v>0.23455999999999999</v>
      </c>
      <c r="L31" s="105">
        <f t="shared" si="3"/>
        <v>40.234560000000002</v>
      </c>
    </row>
    <row r="32" spans="1:32" s="49" customFormat="1" ht="49.5" customHeight="1" x14ac:dyDescent="0.25">
      <c r="A32" s="103" t="str">
        <f>3&amp;E32</f>
        <v>3a</v>
      </c>
      <c r="B32" s="234" t="s">
        <v>67</v>
      </c>
      <c r="C32" s="234" t="s">
        <v>61</v>
      </c>
      <c r="D32" s="235" t="s">
        <v>68</v>
      </c>
      <c r="E32" s="88" t="s">
        <v>34</v>
      </c>
      <c r="F32" s="85" t="s">
        <v>69</v>
      </c>
      <c r="G32" s="116" t="s">
        <v>76</v>
      </c>
      <c r="H32" s="117" t="s">
        <v>207</v>
      </c>
      <c r="I32" s="108" t="str">
        <f t="shared" si="2"/>
        <v>Oportunidad de mejora</v>
      </c>
      <c r="J32" s="105">
        <f t="shared" ref="J32:J37" si="5">+IF(G32="Si",40,IF(G32="En proceso",30,20))</f>
        <v>30</v>
      </c>
      <c r="K32" s="110">
        <v>0.234567</v>
      </c>
      <c r="L32" s="105">
        <f t="shared" ref="L32:L37" si="6">+J32+K32</f>
        <v>30.234566999999998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x14ac:dyDescent="0.25">
      <c r="A33" s="103" t="str">
        <f t="shared" ref="A33:A34" si="7">3&amp;E33</f>
        <v>3b</v>
      </c>
      <c r="B33" s="234"/>
      <c r="C33" s="234"/>
      <c r="D33" s="235"/>
      <c r="E33" s="88" t="s">
        <v>37</v>
      </c>
      <c r="F33" s="85" t="s">
        <v>70</v>
      </c>
      <c r="G33" s="116" t="s">
        <v>76</v>
      </c>
      <c r="H33" s="117" t="s">
        <v>193</v>
      </c>
      <c r="I33" s="108" t="str">
        <f t="shared" si="2"/>
        <v>Oportunidad de mejora</v>
      </c>
      <c r="J33" s="105">
        <f t="shared" si="5"/>
        <v>30</v>
      </c>
      <c r="K33" s="110">
        <v>0.23456779999999999</v>
      </c>
      <c r="L33" s="105">
        <f t="shared" si="6"/>
        <v>30.234567800000001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
      <c r="A34" s="103" t="str">
        <f t="shared" si="7"/>
        <v>3c</v>
      </c>
      <c r="B34" s="234"/>
      <c r="C34" s="234"/>
      <c r="D34" s="235"/>
      <c r="E34" s="88" t="s">
        <v>40</v>
      </c>
      <c r="F34" s="85" t="s">
        <v>71</v>
      </c>
      <c r="G34" s="116" t="s">
        <v>39</v>
      </c>
      <c r="H34" s="117" t="s">
        <v>208</v>
      </c>
      <c r="I34" s="108" t="str">
        <f t="shared" si="2"/>
        <v>Mantenimiento del control</v>
      </c>
      <c r="J34" s="105">
        <f t="shared" si="5"/>
        <v>40</v>
      </c>
      <c r="K34" s="110">
        <v>0.23456789</v>
      </c>
      <c r="L34" s="105">
        <f t="shared" si="6"/>
        <v>40.234567890000001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0.75" customHeight="1" x14ac:dyDescent="0.25">
      <c r="A35" s="103" t="str">
        <f>4&amp;E35</f>
        <v>4a</v>
      </c>
      <c r="B35" s="236" t="s">
        <v>72</v>
      </c>
      <c r="C35" s="223" t="s">
        <v>61</v>
      </c>
      <c r="D35" s="237" t="s">
        <v>73</v>
      </c>
      <c r="E35" s="81" t="s">
        <v>34</v>
      </c>
      <c r="F35" s="82" t="s">
        <v>74</v>
      </c>
      <c r="G35" s="112" t="s">
        <v>39</v>
      </c>
      <c r="H35" s="113" t="s">
        <v>209</v>
      </c>
      <c r="I35" s="104" t="str">
        <f t="shared" si="2"/>
        <v>Mantenimiento del control</v>
      </c>
      <c r="J35" s="105">
        <f t="shared" si="5"/>
        <v>40</v>
      </c>
      <c r="K35" s="110">
        <v>0.23456789119999999</v>
      </c>
      <c r="L35" s="105">
        <f t="shared" si="6"/>
        <v>40.234567891200001</v>
      </c>
      <c r="M35" s="48"/>
      <c r="N35" s="48"/>
      <c r="O35" s="48"/>
      <c r="P35" s="48"/>
      <c r="Q35" s="48"/>
    </row>
    <row r="36" spans="1:32" s="49" customFormat="1" ht="57.75" customHeight="1" x14ac:dyDescent="0.25">
      <c r="A36" s="103" t="str">
        <f t="shared" ref="A36:A37" si="8">4&amp;E36</f>
        <v>4b</v>
      </c>
      <c r="B36" s="236"/>
      <c r="C36" s="223"/>
      <c r="D36" s="237"/>
      <c r="E36" s="83" t="s">
        <v>37</v>
      </c>
      <c r="F36" s="85" t="s">
        <v>75</v>
      </c>
      <c r="G36" s="116" t="s">
        <v>36</v>
      </c>
      <c r="H36" s="117" t="s">
        <v>210</v>
      </c>
      <c r="I36" s="108" t="str">
        <f t="shared" si="2"/>
        <v>Deficiencia de control</v>
      </c>
      <c r="J36" s="105">
        <f t="shared" si="5"/>
        <v>20</v>
      </c>
      <c r="K36" s="110">
        <v>0.23456789122999999</v>
      </c>
      <c r="L36" s="105">
        <f t="shared" si="6"/>
        <v>20.23456789123</v>
      </c>
      <c r="M36" s="48"/>
      <c r="N36" s="48"/>
      <c r="O36" s="48"/>
      <c r="P36" s="48"/>
      <c r="Q36" s="48"/>
    </row>
    <row r="37" spans="1:32" s="49" customFormat="1" ht="49.5" customHeight="1" thickBot="1" x14ac:dyDescent="0.3">
      <c r="A37" s="103" t="str">
        <f t="shared" si="8"/>
        <v>4c</v>
      </c>
      <c r="B37" s="236"/>
      <c r="C37" s="223"/>
      <c r="D37" s="237"/>
      <c r="E37" s="83" t="s">
        <v>40</v>
      </c>
      <c r="F37" s="85" t="s">
        <v>77</v>
      </c>
      <c r="G37" s="116" t="s">
        <v>36</v>
      </c>
      <c r="H37" s="117" t="s">
        <v>211</v>
      </c>
      <c r="I37" s="108" t="str">
        <f t="shared" si="2"/>
        <v>Deficiencia de control</v>
      </c>
      <c r="J37" s="105">
        <f t="shared" si="5"/>
        <v>20</v>
      </c>
      <c r="K37" s="110">
        <v>0.23456789123399999</v>
      </c>
      <c r="L37" s="105">
        <f t="shared" si="6"/>
        <v>20.234567891234001</v>
      </c>
      <c r="M37" s="48"/>
      <c r="N37" s="48"/>
      <c r="O37" s="48"/>
      <c r="P37" s="48"/>
      <c r="Q37" s="48"/>
    </row>
    <row r="38" spans="1:32" s="49" customFormat="1" ht="85.5" customHeight="1" x14ac:dyDescent="0.25">
      <c r="A38" s="103" t="str">
        <f>5&amp;E38</f>
        <v>5a</v>
      </c>
      <c r="B38" s="238" t="s">
        <v>78</v>
      </c>
      <c r="C38" s="225" t="s">
        <v>79</v>
      </c>
      <c r="D38" s="241" t="s">
        <v>80</v>
      </c>
      <c r="E38" s="81" t="s">
        <v>34</v>
      </c>
      <c r="F38" s="89" t="s">
        <v>81</v>
      </c>
      <c r="G38" s="120" t="s">
        <v>39</v>
      </c>
      <c r="H38" s="121" t="s">
        <v>212</v>
      </c>
      <c r="I38" s="111" t="str">
        <f t="shared" si="2"/>
        <v>Mantenimiento del control</v>
      </c>
      <c r="J38" s="105">
        <f>+IF(G38="Si",60,IF(G38="En proceso",50,40))</f>
        <v>60</v>
      </c>
      <c r="K38" s="105">
        <v>0.31</v>
      </c>
      <c r="L38" s="105">
        <f t="shared" si="3"/>
        <v>60.31</v>
      </c>
    </row>
    <row r="39" spans="1:32" s="49" customFormat="1" ht="63" x14ac:dyDescent="0.25">
      <c r="A39" s="103" t="str">
        <f t="shared" ref="A39:A42" si="9">5&amp;E39</f>
        <v>5b</v>
      </c>
      <c r="B39" s="239"/>
      <c r="C39" s="226"/>
      <c r="D39" s="242"/>
      <c r="E39" s="83" t="s">
        <v>37</v>
      </c>
      <c r="F39" s="85" t="s">
        <v>82</v>
      </c>
      <c r="G39" s="116" t="s">
        <v>76</v>
      </c>
      <c r="H39" s="117" t="s">
        <v>213</v>
      </c>
      <c r="I39" s="108" t="str">
        <f t="shared" si="2"/>
        <v>Oportunidad de mejora</v>
      </c>
      <c r="J39" s="105">
        <f>+IF(G39="Si",60,IF(G39="En proceso",50,40))</f>
        <v>50</v>
      </c>
      <c r="K39" s="105">
        <v>0.32300000000000001</v>
      </c>
      <c r="L39" s="105">
        <f t="shared" si="3"/>
        <v>50.323</v>
      </c>
    </row>
    <row r="40" spans="1:32" s="49" customFormat="1" ht="49.5" x14ac:dyDescent="0.25">
      <c r="A40" s="103" t="str">
        <f t="shared" si="9"/>
        <v>5c</v>
      </c>
      <c r="B40" s="239"/>
      <c r="C40" s="226"/>
      <c r="D40" s="242"/>
      <c r="E40" s="83" t="s">
        <v>40</v>
      </c>
      <c r="F40" s="85" t="s">
        <v>83</v>
      </c>
      <c r="G40" s="116" t="s">
        <v>76</v>
      </c>
      <c r="H40" s="117" t="s">
        <v>214</v>
      </c>
      <c r="I40" s="108" t="str">
        <f t="shared" si="2"/>
        <v>Oportunidad de mejora</v>
      </c>
      <c r="J40" s="105">
        <f>+IF(G40="Si",60,IF(G40="En proceso",50,40))</f>
        <v>50</v>
      </c>
      <c r="K40" s="105">
        <v>0.32400000000000001</v>
      </c>
      <c r="L40" s="105">
        <f t="shared" si="3"/>
        <v>50.323999999999998</v>
      </c>
    </row>
    <row r="41" spans="1:32" s="49" customFormat="1" ht="94.5" x14ac:dyDescent="0.25">
      <c r="A41" s="103" t="str">
        <f t="shared" si="9"/>
        <v>5d</v>
      </c>
      <c r="B41" s="239"/>
      <c r="C41" s="226"/>
      <c r="D41" s="242"/>
      <c r="E41" s="83" t="s">
        <v>42</v>
      </c>
      <c r="F41" s="85" t="s">
        <v>84</v>
      </c>
      <c r="G41" s="116" t="s">
        <v>76</v>
      </c>
      <c r="H41" s="117" t="s">
        <v>193</v>
      </c>
      <c r="I41" s="108" t="str">
        <f t="shared" si="2"/>
        <v>Oportunidad de mejora</v>
      </c>
      <c r="J41" s="105">
        <f>+IF(G41="Si",60,IF(G41="En proceso",50,40))</f>
        <v>50</v>
      </c>
      <c r="K41" s="105">
        <v>0.32500000000000001</v>
      </c>
      <c r="L41" s="105">
        <f t="shared" si="3"/>
        <v>50.325000000000003</v>
      </c>
    </row>
    <row r="42" spans="1:32" s="49" customFormat="1" ht="48" thickBot="1" x14ac:dyDescent="0.3">
      <c r="A42" s="103" t="str">
        <f t="shared" si="9"/>
        <v>5e</v>
      </c>
      <c r="B42" s="240"/>
      <c r="C42" s="227"/>
      <c r="D42" s="243"/>
      <c r="E42" s="86" t="s">
        <v>44</v>
      </c>
      <c r="F42" s="87" t="s">
        <v>85</v>
      </c>
      <c r="G42" s="118" t="s">
        <v>39</v>
      </c>
      <c r="H42" s="119" t="s">
        <v>215</v>
      </c>
      <c r="I42" s="109" t="str">
        <f t="shared" si="2"/>
        <v>Mantenimiento del control</v>
      </c>
      <c r="J42" s="105">
        <f>+IF(G42="Si",60,IF(G42="En proceso",50,40))</f>
        <v>60</v>
      </c>
      <c r="K42" s="105">
        <v>0.32600000000000001</v>
      </c>
      <c r="L42" s="105">
        <f t="shared" si="3"/>
        <v>60.326000000000001</v>
      </c>
    </row>
    <row r="43" spans="1:32" s="49" customFormat="1" ht="40.5" customHeight="1" x14ac:dyDescent="0.25">
      <c r="A43" s="103" t="str">
        <f>6&amp;E43</f>
        <v>6a</v>
      </c>
      <c r="B43" s="248" t="s">
        <v>86</v>
      </c>
      <c r="C43" s="228" t="s">
        <v>87</v>
      </c>
      <c r="D43" s="245" t="s">
        <v>88</v>
      </c>
      <c r="E43" s="81" t="s">
        <v>34</v>
      </c>
      <c r="F43" s="82" t="s">
        <v>89</v>
      </c>
      <c r="G43" s="112" t="s">
        <v>76</v>
      </c>
      <c r="H43" s="113" t="s">
        <v>216</v>
      </c>
      <c r="I43" s="104" t="str">
        <f t="shared" si="2"/>
        <v>Oportunidad de mejora</v>
      </c>
      <c r="J43" s="105">
        <f t="shared" ref="J43:J49" si="10">+IF(G43="Si",80,IF(G43="En proceso",70,60))</f>
        <v>70</v>
      </c>
      <c r="K43" s="105">
        <v>0.41199999999999998</v>
      </c>
      <c r="L43" s="105">
        <f t="shared" si="3"/>
        <v>70.412000000000006</v>
      </c>
    </row>
    <row r="44" spans="1:32" s="49" customFormat="1" ht="33" customHeight="1" x14ac:dyDescent="0.25">
      <c r="A44" s="103" t="str">
        <f t="shared" ref="A44:A49" si="11">6&amp;E44</f>
        <v>6b</v>
      </c>
      <c r="B44" s="249"/>
      <c r="C44" s="229"/>
      <c r="D44" s="246"/>
      <c r="E44" s="83" t="s">
        <v>37</v>
      </c>
      <c r="F44" s="85" t="s">
        <v>90</v>
      </c>
      <c r="G44" s="116" t="s">
        <v>39</v>
      </c>
      <c r="H44" s="117" t="s">
        <v>217</v>
      </c>
      <c r="I44" s="108" t="str">
        <f t="shared" si="2"/>
        <v>Mantenimiento del control</v>
      </c>
      <c r="J44" s="105">
        <f t="shared" si="10"/>
        <v>80</v>
      </c>
      <c r="K44" s="105">
        <v>0.4123</v>
      </c>
      <c r="L44" s="105">
        <f t="shared" si="3"/>
        <v>80.412300000000002</v>
      </c>
    </row>
    <row r="45" spans="1:32" s="49" customFormat="1" ht="47.25" x14ac:dyDescent="0.25">
      <c r="A45" s="103" t="str">
        <f t="shared" si="11"/>
        <v>6c</v>
      </c>
      <c r="B45" s="249"/>
      <c r="C45" s="229"/>
      <c r="D45" s="246"/>
      <c r="E45" s="83" t="s">
        <v>40</v>
      </c>
      <c r="F45" s="85" t="s">
        <v>91</v>
      </c>
      <c r="G45" s="116" t="s">
        <v>39</v>
      </c>
      <c r="H45" s="117" t="s">
        <v>192</v>
      </c>
      <c r="I45" s="108" t="str">
        <f t="shared" si="2"/>
        <v>Mantenimiento del control</v>
      </c>
      <c r="J45" s="105">
        <f t="shared" si="10"/>
        <v>80</v>
      </c>
      <c r="K45" s="105">
        <v>0.41233999999999998</v>
      </c>
      <c r="L45" s="105">
        <f t="shared" si="3"/>
        <v>80.41234</v>
      </c>
    </row>
    <row r="46" spans="1:32" s="49" customFormat="1" ht="31.5" x14ac:dyDescent="0.25">
      <c r="A46" s="103" t="str">
        <f t="shared" si="11"/>
        <v>6d</v>
      </c>
      <c r="B46" s="249"/>
      <c r="C46" s="229"/>
      <c r="D46" s="246"/>
      <c r="E46" s="83" t="s">
        <v>42</v>
      </c>
      <c r="F46" s="85" t="s">
        <v>92</v>
      </c>
      <c r="G46" s="116" t="s">
        <v>39</v>
      </c>
      <c r="H46" s="117" t="s">
        <v>218</v>
      </c>
      <c r="I46" s="108" t="str">
        <f t="shared" si="2"/>
        <v>Mantenimiento del control</v>
      </c>
      <c r="J46" s="105">
        <f t="shared" si="10"/>
        <v>80</v>
      </c>
      <c r="K46" s="105">
        <v>0.41234500000000002</v>
      </c>
      <c r="L46" s="105">
        <f t="shared" si="3"/>
        <v>80.412345000000002</v>
      </c>
    </row>
    <row r="47" spans="1:32" s="49" customFormat="1" ht="63" x14ac:dyDescent="0.25">
      <c r="A47" s="103" t="str">
        <f t="shared" si="11"/>
        <v>6e</v>
      </c>
      <c r="B47" s="249"/>
      <c r="C47" s="229"/>
      <c r="D47" s="246"/>
      <c r="E47" s="83" t="s">
        <v>44</v>
      </c>
      <c r="F47" s="85" t="s">
        <v>93</v>
      </c>
      <c r="G47" s="116" t="s">
        <v>39</v>
      </c>
      <c r="H47" s="117" t="s">
        <v>219</v>
      </c>
      <c r="I47" s="108" t="str">
        <f t="shared" si="2"/>
        <v>Mantenimiento del control</v>
      </c>
      <c r="J47" s="105">
        <f t="shared" si="10"/>
        <v>80</v>
      </c>
      <c r="K47" s="105">
        <v>0.41234559999999998</v>
      </c>
      <c r="L47" s="105">
        <f t="shared" si="3"/>
        <v>80.412345599999995</v>
      </c>
    </row>
    <row r="48" spans="1:32" s="49" customFormat="1" ht="63" x14ac:dyDescent="0.25">
      <c r="A48" s="103" t="str">
        <f t="shared" si="11"/>
        <v>6f</v>
      </c>
      <c r="B48" s="249"/>
      <c r="C48" s="229"/>
      <c r="D48" s="246"/>
      <c r="E48" s="83" t="s">
        <v>46</v>
      </c>
      <c r="F48" s="85" t="s">
        <v>94</v>
      </c>
      <c r="G48" s="116" t="s">
        <v>39</v>
      </c>
      <c r="H48" s="117" t="s">
        <v>220</v>
      </c>
      <c r="I48" s="108" t="str">
        <f t="shared" si="2"/>
        <v>Mantenimiento del control</v>
      </c>
      <c r="J48" s="105">
        <f t="shared" si="10"/>
        <v>80</v>
      </c>
      <c r="K48" s="105">
        <v>0.41234567</v>
      </c>
      <c r="L48" s="105">
        <f t="shared" si="3"/>
        <v>80.412345669999993</v>
      </c>
    </row>
    <row r="49" spans="1:17" s="49" customFormat="1" ht="48" thickBot="1" x14ac:dyDescent="0.3">
      <c r="A49" s="103" t="str">
        <f t="shared" si="11"/>
        <v>6g</v>
      </c>
      <c r="B49" s="250"/>
      <c r="C49" s="230"/>
      <c r="D49" s="247"/>
      <c r="E49" s="86" t="s">
        <v>48</v>
      </c>
      <c r="F49" s="87" t="s">
        <v>95</v>
      </c>
      <c r="G49" s="118" t="s">
        <v>39</v>
      </c>
      <c r="H49" s="119" t="s">
        <v>221</v>
      </c>
      <c r="I49" s="109" t="str">
        <f t="shared" si="2"/>
        <v>Mantenimiento del control</v>
      </c>
      <c r="J49" s="105">
        <f t="shared" si="10"/>
        <v>80</v>
      </c>
      <c r="K49" s="105">
        <v>0.41234567799999999</v>
      </c>
      <c r="L49" s="105">
        <f t="shared" si="3"/>
        <v>80.412345677999994</v>
      </c>
    </row>
    <row r="50" spans="1:17" s="49" customFormat="1" ht="54.75" customHeight="1" x14ac:dyDescent="0.25">
      <c r="A50" s="103" t="str">
        <f>7&amp;E50</f>
        <v>7a</v>
      </c>
      <c r="B50" s="216" t="s">
        <v>96</v>
      </c>
      <c r="C50" s="231" t="s">
        <v>97</v>
      </c>
      <c r="D50" s="213" t="s">
        <v>98</v>
      </c>
      <c r="E50" s="81" t="s">
        <v>34</v>
      </c>
      <c r="F50" s="82" t="s">
        <v>99</v>
      </c>
      <c r="G50" s="112" t="s">
        <v>76</v>
      </c>
      <c r="H50" s="113" t="s">
        <v>222</v>
      </c>
      <c r="I50" s="104" t="str">
        <f t="shared" si="2"/>
        <v>Oportunidad de mejora</v>
      </c>
      <c r="J50" s="105">
        <f>+IF(G50="Si",120,IF(G50="En proceso",100,80))</f>
        <v>100</v>
      </c>
      <c r="K50" s="105">
        <v>0.85099999999999998</v>
      </c>
      <c r="L50" s="105">
        <f t="shared" si="3"/>
        <v>100.851</v>
      </c>
    </row>
    <row r="51" spans="1:17" s="49" customFormat="1" ht="94.5" x14ac:dyDescent="0.25">
      <c r="A51" s="103" t="str">
        <f t="shared" ref="A51:A53" si="12">7&amp;E51</f>
        <v>7d</v>
      </c>
      <c r="B51" s="217"/>
      <c r="C51" s="232"/>
      <c r="D51" s="214"/>
      <c r="E51" s="83" t="s">
        <v>42</v>
      </c>
      <c r="F51" s="85" t="s">
        <v>100</v>
      </c>
      <c r="G51" s="116" t="s">
        <v>39</v>
      </c>
      <c r="H51" s="117" t="s">
        <v>235</v>
      </c>
      <c r="I51" s="108" t="str">
        <f t="shared" si="2"/>
        <v>Mantenimiento del control</v>
      </c>
      <c r="J51" s="105">
        <f t="shared" ref="J51:J59" si="13">+IF(G51="Si",120,IF(G51="En proceso",100,80))</f>
        <v>120</v>
      </c>
      <c r="K51" s="105">
        <v>0.85119999999999996</v>
      </c>
      <c r="L51" s="105">
        <f t="shared" si="3"/>
        <v>120.85120000000001</v>
      </c>
    </row>
    <row r="52" spans="1:17" s="49" customFormat="1" ht="47.25" x14ac:dyDescent="0.25">
      <c r="A52" s="103" t="str">
        <f t="shared" si="12"/>
        <v>7f</v>
      </c>
      <c r="B52" s="217"/>
      <c r="C52" s="232"/>
      <c r="D52" s="214"/>
      <c r="E52" s="83" t="s">
        <v>46</v>
      </c>
      <c r="F52" s="85" t="s">
        <v>101</v>
      </c>
      <c r="G52" s="116" t="s">
        <v>76</v>
      </c>
      <c r="H52" s="117" t="s">
        <v>223</v>
      </c>
      <c r="I52" s="108" t="str">
        <f t="shared" si="2"/>
        <v>Oportunidad de mejora</v>
      </c>
      <c r="J52" s="105">
        <f t="shared" si="13"/>
        <v>100</v>
      </c>
      <c r="K52" s="105">
        <v>0.85123000000000004</v>
      </c>
      <c r="L52" s="105">
        <f t="shared" si="3"/>
        <v>100.85123</v>
      </c>
    </row>
    <row r="53" spans="1:17" s="49" customFormat="1" ht="50.25" thickBot="1" x14ac:dyDescent="0.3">
      <c r="A53" s="103" t="str">
        <f t="shared" si="12"/>
        <v>7g</v>
      </c>
      <c r="B53" s="218"/>
      <c r="C53" s="233"/>
      <c r="D53" s="251"/>
      <c r="E53" s="86" t="s">
        <v>48</v>
      </c>
      <c r="F53" s="87" t="s">
        <v>102</v>
      </c>
      <c r="G53" s="118" t="s">
        <v>39</v>
      </c>
      <c r="H53" s="119" t="s">
        <v>224</v>
      </c>
      <c r="I53" s="109" t="str">
        <f t="shared" si="2"/>
        <v>Mantenimiento del control</v>
      </c>
      <c r="J53" s="105">
        <f t="shared" si="13"/>
        <v>120</v>
      </c>
      <c r="K53" s="105">
        <v>0.85123400000000005</v>
      </c>
      <c r="L53" s="105">
        <f t="shared" si="3"/>
        <v>120.85123400000001</v>
      </c>
    </row>
    <row r="54" spans="1:17" s="49" customFormat="1" ht="102.75" customHeight="1" thickBot="1" x14ac:dyDescent="0.3">
      <c r="A54" s="103" t="str">
        <f>8&amp;E54</f>
        <v>8h</v>
      </c>
      <c r="B54" s="162" t="s">
        <v>103</v>
      </c>
      <c r="C54" s="163" t="s">
        <v>97</v>
      </c>
      <c r="D54" s="76" t="s">
        <v>104</v>
      </c>
      <c r="E54" s="81" t="s">
        <v>50</v>
      </c>
      <c r="F54" s="82" t="s">
        <v>105</v>
      </c>
      <c r="G54" s="112" t="s">
        <v>36</v>
      </c>
      <c r="H54" s="113" t="s">
        <v>225</v>
      </c>
      <c r="I54" s="104" t="str">
        <f t="shared" si="2"/>
        <v>Deficiencia de control</v>
      </c>
      <c r="J54" s="105">
        <f t="shared" si="13"/>
        <v>80</v>
      </c>
      <c r="K54" s="105">
        <v>0.85123450000000001</v>
      </c>
      <c r="L54" s="105">
        <f t="shared" si="3"/>
        <v>80.851234500000004</v>
      </c>
    </row>
    <row r="55" spans="1:17" s="49" customFormat="1" ht="54.75" customHeight="1" x14ac:dyDescent="0.25">
      <c r="A55" s="103" t="str">
        <f>9&amp;E55</f>
        <v>9a</v>
      </c>
      <c r="B55" s="216" t="s">
        <v>106</v>
      </c>
      <c r="C55" s="231" t="s">
        <v>97</v>
      </c>
      <c r="D55" s="213" t="s">
        <v>107</v>
      </c>
      <c r="E55" s="81" t="s">
        <v>34</v>
      </c>
      <c r="F55" s="82" t="s">
        <v>108</v>
      </c>
      <c r="G55" s="112" t="s">
        <v>39</v>
      </c>
      <c r="H55" s="113" t="s">
        <v>226</v>
      </c>
      <c r="I55" s="104" t="str">
        <f t="shared" si="2"/>
        <v>Mantenimiento del control</v>
      </c>
      <c r="J55" s="105">
        <f t="shared" si="13"/>
        <v>120</v>
      </c>
      <c r="K55" s="110">
        <v>0.85123455999999997</v>
      </c>
      <c r="L55" s="105">
        <f t="shared" si="3"/>
        <v>120.85123455999999</v>
      </c>
      <c r="M55" s="48"/>
      <c r="N55" s="48"/>
      <c r="O55" s="48"/>
      <c r="P55" s="48"/>
      <c r="Q55" s="48"/>
    </row>
    <row r="56" spans="1:17" s="49" customFormat="1" ht="55.5" customHeight="1" x14ac:dyDescent="0.25">
      <c r="A56" s="103" t="str">
        <f t="shared" ref="A56:A59" si="14">9&amp;E56</f>
        <v>9b</v>
      </c>
      <c r="B56" s="217"/>
      <c r="C56" s="232"/>
      <c r="D56" s="214"/>
      <c r="E56" s="83" t="s">
        <v>37</v>
      </c>
      <c r="F56" s="85" t="s">
        <v>109</v>
      </c>
      <c r="G56" s="116" t="s">
        <v>39</v>
      </c>
      <c r="H56" s="117" t="s">
        <v>227</v>
      </c>
      <c r="I56" s="108" t="str">
        <f t="shared" si="2"/>
        <v>Mantenimiento del control</v>
      </c>
      <c r="J56" s="105">
        <f t="shared" si="13"/>
        <v>120</v>
      </c>
      <c r="K56" s="110">
        <v>0.851234567</v>
      </c>
      <c r="L56" s="105">
        <f t="shared" si="3"/>
        <v>120.85123456700001</v>
      </c>
      <c r="M56" s="48"/>
      <c r="N56" s="48"/>
      <c r="O56" s="48"/>
      <c r="P56" s="48"/>
      <c r="Q56" s="48"/>
    </row>
    <row r="57" spans="1:17" s="49" customFormat="1" ht="77.25" customHeight="1" x14ac:dyDescent="0.25">
      <c r="A57" s="103" t="str">
        <f t="shared" si="14"/>
        <v>9c</v>
      </c>
      <c r="B57" s="217"/>
      <c r="C57" s="232"/>
      <c r="D57" s="214"/>
      <c r="E57" s="83" t="s">
        <v>40</v>
      </c>
      <c r="F57" s="85" t="s">
        <v>110</v>
      </c>
      <c r="G57" s="116" t="s">
        <v>76</v>
      </c>
      <c r="H57" s="117" t="s">
        <v>228</v>
      </c>
      <c r="I57" s="108" t="str">
        <f t="shared" si="2"/>
        <v>Oportunidad de mejora</v>
      </c>
      <c r="J57" s="105">
        <f t="shared" si="13"/>
        <v>100</v>
      </c>
      <c r="K57" s="110">
        <v>0.85123456779999995</v>
      </c>
      <c r="L57" s="105">
        <f t="shared" si="3"/>
        <v>100.85123456780001</v>
      </c>
      <c r="M57" s="48"/>
      <c r="N57" s="48"/>
      <c r="O57" s="48"/>
      <c r="P57" s="48"/>
      <c r="Q57" s="48"/>
    </row>
    <row r="58" spans="1:17" s="49" customFormat="1" ht="77.25" customHeight="1" x14ac:dyDescent="0.25">
      <c r="A58" s="103" t="str">
        <f t="shared" si="14"/>
        <v>9d</v>
      </c>
      <c r="B58" s="217"/>
      <c r="C58" s="232"/>
      <c r="D58" s="214"/>
      <c r="E58" s="83" t="s">
        <v>42</v>
      </c>
      <c r="F58" s="85" t="s">
        <v>111</v>
      </c>
      <c r="G58" s="116" t="s">
        <v>76</v>
      </c>
      <c r="H58" s="117" t="s">
        <v>229</v>
      </c>
      <c r="I58" s="108" t="str">
        <f t="shared" si="2"/>
        <v>Oportunidad de mejora</v>
      </c>
      <c r="J58" s="105">
        <f t="shared" si="13"/>
        <v>100</v>
      </c>
      <c r="K58" s="110">
        <v>0.85123456788999996</v>
      </c>
      <c r="L58" s="105">
        <f t="shared" si="3"/>
        <v>100.85123456789</v>
      </c>
      <c r="M58" s="48"/>
      <c r="N58" s="48"/>
      <c r="O58" s="48"/>
      <c r="P58" s="48"/>
      <c r="Q58" s="48"/>
    </row>
    <row r="59" spans="1:17" s="49" customFormat="1" ht="77.25" customHeight="1" thickBot="1" x14ac:dyDescent="0.3">
      <c r="A59" s="103" t="str">
        <f t="shared" si="14"/>
        <v>9e</v>
      </c>
      <c r="B59" s="218"/>
      <c r="C59" s="232"/>
      <c r="D59" s="215"/>
      <c r="E59" s="86" t="s">
        <v>44</v>
      </c>
      <c r="F59" s="87" t="s">
        <v>112</v>
      </c>
      <c r="G59" s="118" t="s">
        <v>39</v>
      </c>
      <c r="H59" s="119" t="s">
        <v>230</v>
      </c>
      <c r="I59" s="109" t="str">
        <f t="shared" si="2"/>
        <v>Mantenimiento del control</v>
      </c>
      <c r="J59" s="105">
        <f t="shared" si="13"/>
        <v>120</v>
      </c>
      <c r="K59" s="110">
        <v>0.85123456789100005</v>
      </c>
      <c r="L59" s="105">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abSelected="1" topLeftCell="D19" zoomScale="80" zoomScaleNormal="80" workbookViewId="0">
      <selection activeCell="J19" sqref="J19:J30"/>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94" t="s">
        <v>113</v>
      </c>
      <c r="D7" s="295"/>
      <c r="E7" s="295"/>
      <c r="F7" s="295"/>
      <c r="G7" s="295"/>
      <c r="H7" s="295"/>
      <c r="I7" s="295"/>
      <c r="J7" s="295"/>
      <c r="K7" s="296"/>
    </row>
    <row r="8" spans="1:11" s="1" customFormat="1" ht="15.75" thickBot="1" x14ac:dyDescent="0.3">
      <c r="C8" s="39"/>
      <c r="D8" s="39"/>
      <c r="E8" s="40"/>
      <c r="F8" s="40"/>
      <c r="G8" s="40"/>
      <c r="H8" s="40"/>
      <c r="I8" s="50"/>
      <c r="J8" s="40"/>
      <c r="K8" s="40"/>
    </row>
    <row r="9" spans="1:11" ht="21" thickBot="1" x14ac:dyDescent="0.3">
      <c r="A9" s="1"/>
      <c r="B9" s="1"/>
      <c r="C9" s="196" t="s">
        <v>15</v>
      </c>
      <c r="D9" s="197"/>
      <c r="E9" s="197" t="s">
        <v>16</v>
      </c>
      <c r="F9" s="208"/>
      <c r="G9" s="40"/>
      <c r="H9" s="40"/>
      <c r="I9" s="50"/>
      <c r="J9" s="40"/>
      <c r="K9" s="40"/>
    </row>
    <row r="10" spans="1:11" ht="54" customHeight="1" x14ac:dyDescent="0.25">
      <c r="A10" s="1"/>
      <c r="B10" s="1"/>
      <c r="C10" s="209" t="s">
        <v>17</v>
      </c>
      <c r="D10" s="210"/>
      <c r="E10" s="211" t="s">
        <v>18</v>
      </c>
      <c r="F10" s="212"/>
      <c r="G10" s="41"/>
      <c r="H10" s="42">
        <v>1</v>
      </c>
      <c r="I10" s="50"/>
      <c r="J10" s="40"/>
      <c r="K10" s="40"/>
    </row>
    <row r="11" spans="1:11" ht="46.5" customHeight="1" x14ac:dyDescent="0.25">
      <c r="A11" s="1"/>
      <c r="B11" s="1"/>
      <c r="C11" s="198" t="s">
        <v>19</v>
      </c>
      <c r="D11" s="199"/>
      <c r="E11" s="200" t="s">
        <v>114</v>
      </c>
      <c r="F11" s="201"/>
      <c r="G11" s="43" t="s">
        <v>115</v>
      </c>
      <c r="H11" s="42">
        <v>0.75</v>
      </c>
      <c r="I11" s="50"/>
      <c r="J11" s="40"/>
      <c r="K11" s="40"/>
    </row>
    <row r="12" spans="1:11" ht="70.5" customHeight="1" thickBot="1" x14ac:dyDescent="0.3">
      <c r="A12" s="1"/>
      <c r="B12" s="1"/>
      <c r="C12" s="202" t="s">
        <v>21</v>
      </c>
      <c r="D12" s="203"/>
      <c r="E12" s="204" t="s">
        <v>116</v>
      </c>
      <c r="F12" s="205"/>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86" t="s">
        <v>117</v>
      </c>
      <c r="D17" s="288" t="s">
        <v>118</v>
      </c>
      <c r="E17" s="289"/>
      <c r="F17" s="290" t="s">
        <v>119</v>
      </c>
      <c r="G17" s="292" t="s">
        <v>120</v>
      </c>
      <c r="H17" s="38"/>
      <c r="I17" s="281" t="s">
        <v>121</v>
      </c>
      <c r="J17" s="281" t="s">
        <v>122</v>
      </c>
    </row>
    <row r="18" spans="1:10" ht="36" customHeight="1" thickBot="1" x14ac:dyDescent="0.3">
      <c r="A18" s="1"/>
      <c r="B18" s="1"/>
      <c r="C18" s="287"/>
      <c r="D18" s="122" t="s">
        <v>123</v>
      </c>
      <c r="E18" s="123" t="s">
        <v>27</v>
      </c>
      <c r="F18" s="291"/>
      <c r="G18" s="293"/>
      <c r="H18" s="38"/>
      <c r="I18" s="282"/>
      <c r="J18" s="282"/>
    </row>
    <row r="19" spans="1:10" ht="65.25" customHeight="1" x14ac:dyDescent="0.25">
      <c r="A19" s="1"/>
      <c r="B19" s="1"/>
      <c r="C19" s="141">
        <v>1</v>
      </c>
      <c r="D19" s="283" t="s">
        <v>32</v>
      </c>
      <c r="E19" s="124" t="str">
        <f>+IFERROR(INDEX(Hoja1!$E$2:$E$45,MATCH('Análisis Resultados'!C19,Hoja1!$H$2:$H$45,0)),"")</f>
        <v>Procesos de desvinculación de servidores de acuerdo con lo previsto en la Constitución Política y las leyes</v>
      </c>
      <c r="F19" s="125" t="str">
        <f>+IFERROR(VLOOKUP(C19,Hoja1!$H$2:$I$45,2,0),"")</f>
        <v>No</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42">
        <f>+IF(F19="Si",1,IF(F19="En proceso",0.5,0))</f>
        <v>0</v>
      </c>
      <c r="J19" s="265">
        <f>+AVERAGE(I19:I30)</f>
        <v>0.91666666666666663</v>
      </c>
    </row>
    <row r="20" spans="1:10" ht="45" x14ac:dyDescent="0.25">
      <c r="A20" s="1"/>
      <c r="B20" s="1"/>
      <c r="C20" s="141">
        <v>2</v>
      </c>
      <c r="D20" s="284"/>
      <c r="E20" s="127" t="str">
        <f>+IFERROR(INDEX(Hoja1!$E$2:$E$45,MATCH('Análisis Resultados'!C20,Hoja1!$H$2:$H$45,0)),"")</f>
        <v>Documento interno o adopción del MECI actualizado</v>
      </c>
      <c r="F20" s="128" t="str">
        <f>+IFERROR(VLOOKUP(C20,Hoja1!$H$2:$I$45,2,0),"")</f>
        <v>Si</v>
      </c>
      <c r="G20" s="129"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43">
        <f t="shared" ref="I20:I62" si="1">+IF(F20="Si",1,IF(F20="En proceso",0.5,0))</f>
        <v>1</v>
      </c>
      <c r="J20" s="266"/>
    </row>
    <row r="21" spans="1:10" ht="57" x14ac:dyDescent="0.25">
      <c r="A21" s="1"/>
      <c r="B21" s="1"/>
      <c r="C21" s="141">
        <v>3</v>
      </c>
      <c r="D21" s="284"/>
      <c r="E21" s="127" t="str">
        <f>+IFERROR(INDEX(Hoja1!$E$2:$E$45,MATCH('Análisis Resultados'!C21,Hoja1!$H$2:$H$45,0)),"")</f>
        <v>Un documento tal como un código de ética, integridad u otro que formalice los estándares de conducta, los principios institucionales o los valores del servicio público</v>
      </c>
      <c r="F21" s="128" t="str">
        <f>+IFERROR(VLOOKUP(C21,Hoja1!$H$2:$I$45,2,0),"")</f>
        <v>Si</v>
      </c>
      <c r="G21" s="129" t="str">
        <f t="shared" si="0"/>
        <v>Existe requerimiento pero se requiere actividades  dirigidas a su mantenimiento dentro del marco de las lineas de defensa.</v>
      </c>
      <c r="H21" s="18"/>
      <c r="I21" s="143">
        <f t="shared" si="1"/>
        <v>1</v>
      </c>
      <c r="J21" s="266"/>
    </row>
    <row r="22" spans="1:10" ht="56.25" customHeight="1" x14ac:dyDescent="0.25">
      <c r="A22" s="1"/>
      <c r="B22" s="1"/>
      <c r="C22" s="141">
        <v>4</v>
      </c>
      <c r="D22" s="284"/>
      <c r="E22" s="127" t="str">
        <f>+IFERROR(INDEX(Hoja1!$E$2:$E$45,MATCH('Análisis Resultados'!C22,Hoja1!$H$2:$H$45,0)),"")</f>
        <v>Planes, programas y proyectos de acuerdo con las normas que rigen y atendiendo con su propósito fundamental institucional (misión)</v>
      </c>
      <c r="F22" s="128" t="str">
        <f>+IFERROR(VLOOKUP(C22,Hoja1!$H$2:$I$45,2,0),"")</f>
        <v>Si</v>
      </c>
      <c r="G22" s="129" t="str">
        <f t="shared" si="0"/>
        <v>Existe requerimiento pero se requiere actividades  dirigidas a su mantenimiento dentro del marco de las lineas de defensa.</v>
      </c>
      <c r="H22" s="18"/>
      <c r="I22" s="143">
        <f t="shared" si="1"/>
        <v>1</v>
      </c>
      <c r="J22" s="266"/>
    </row>
    <row r="23" spans="1:10" ht="45" x14ac:dyDescent="0.25">
      <c r="A23" s="1"/>
      <c r="B23" s="1"/>
      <c r="C23" s="141">
        <v>5</v>
      </c>
      <c r="D23" s="284"/>
      <c r="E23" s="127" t="str">
        <f>+IFERROR(INDEX(Hoja1!$E$2:$E$45,MATCH('Análisis Resultados'!C23,Hoja1!$H$2:$H$45,0)),"")</f>
        <v>Una estructura organizacional formalizada (organigrama)</v>
      </c>
      <c r="F23" s="128" t="str">
        <f>+IFERROR(VLOOKUP(C23,Hoja1!$H$2:$I$45,2,0),"")</f>
        <v>Si</v>
      </c>
      <c r="G23" s="129" t="str">
        <f t="shared" si="0"/>
        <v>Existe requerimiento pero se requiere actividades  dirigidas a su mantenimiento dentro del marco de las lineas de defensa.</v>
      </c>
      <c r="H23" s="18"/>
      <c r="I23" s="143">
        <f t="shared" si="1"/>
        <v>1</v>
      </c>
      <c r="J23" s="266"/>
    </row>
    <row r="24" spans="1:10" ht="45" x14ac:dyDescent="0.25">
      <c r="A24" s="1"/>
      <c r="B24" s="1"/>
      <c r="C24" s="141">
        <v>6</v>
      </c>
      <c r="D24" s="284"/>
      <c r="E24" s="127" t="str">
        <f>+IFERROR(INDEX(Hoja1!$E$2:$E$45,MATCH('Análisis Resultados'!C24,Hoja1!$H$2:$H$45,0)),"")</f>
        <v>Un manual de funciones que describa los empleos de la entidad</v>
      </c>
      <c r="F24" s="128" t="str">
        <f>+IFERROR(VLOOKUP(C24,Hoja1!$H$2:$I$45,2,0),"")</f>
        <v>Si</v>
      </c>
      <c r="G24" s="129" t="str">
        <f t="shared" si="0"/>
        <v>Existe requerimiento pero se requiere actividades  dirigidas a su mantenimiento dentro del marco de las lineas de defensa.</v>
      </c>
      <c r="H24" s="18"/>
      <c r="I24" s="143">
        <f t="shared" si="1"/>
        <v>1</v>
      </c>
      <c r="J24" s="266"/>
    </row>
    <row r="25" spans="1:10" ht="45" x14ac:dyDescent="0.25">
      <c r="A25" s="1"/>
      <c r="B25" s="1"/>
      <c r="C25" s="141">
        <v>7</v>
      </c>
      <c r="D25" s="284"/>
      <c r="E25" s="127" t="str">
        <f>+IFERROR(INDEX(Hoja1!$E$2:$E$45,MATCH('Análisis Resultados'!C25,Hoja1!$H$2:$H$45,0)),"")</f>
        <v>La documentación de sus procesos y procedimientos o bien una lista de actividades principales que permitan conocer el estado de su gestión</v>
      </c>
      <c r="F25" s="128" t="str">
        <f>+IFERROR(VLOOKUP(C25,Hoja1!$H$2:$I$45,2,0),"")</f>
        <v>Si</v>
      </c>
      <c r="G25" s="129" t="str">
        <f t="shared" si="0"/>
        <v>Existe requerimiento pero se requiere actividades  dirigidas a su mantenimiento dentro del marco de las lineas de defensa.</v>
      </c>
      <c r="H25" s="18"/>
      <c r="I25" s="143">
        <f t="shared" si="1"/>
        <v>1</v>
      </c>
      <c r="J25" s="266"/>
    </row>
    <row r="26" spans="1:10" ht="45" x14ac:dyDescent="0.25">
      <c r="A26" s="1"/>
      <c r="B26" s="1"/>
      <c r="C26" s="141">
        <v>8</v>
      </c>
      <c r="D26" s="284"/>
      <c r="E26" s="127" t="str">
        <f>+IFERROR(INDEX(Hoja1!$E$2:$E$45,MATCH('Análisis Resultados'!C26,Hoja1!$H$2:$H$45,0)),"")</f>
        <v>Vinculación de los servidores públicos de acuerdo con el marco normativo que les rige (carrera administrativa, libre nombramiento y remoción, entre otros)</v>
      </c>
      <c r="F26" s="128" t="str">
        <f>+IFERROR(VLOOKUP(C26,Hoja1!$H$2:$I$45,2,0),"")</f>
        <v>Si</v>
      </c>
      <c r="G26" s="129" t="str">
        <f t="shared" si="0"/>
        <v>Existe requerimiento pero se requiere actividades  dirigidas a su mantenimiento dentro del marco de las lineas de defensa.</v>
      </c>
      <c r="H26" s="18"/>
      <c r="I26" s="143">
        <f t="shared" si="1"/>
        <v>1</v>
      </c>
      <c r="J26" s="266"/>
    </row>
    <row r="27" spans="1:10" ht="45" x14ac:dyDescent="0.25">
      <c r="A27" s="1"/>
      <c r="B27" s="1"/>
      <c r="C27" s="141">
        <v>9</v>
      </c>
      <c r="D27" s="284"/>
      <c r="E27" s="127" t="str">
        <f>+IFERROR(INDEX(Hoja1!$E$2:$E$45,MATCH('Análisis Resultados'!C27,Hoja1!$H$2:$H$45,0)),"")</f>
        <v>Procesos de inducción, capacitación y bienestar social para sus servidores públicos, de manera directa o en asociación con otras entidades municipales</v>
      </c>
      <c r="F27" s="128" t="str">
        <f>+IFERROR(VLOOKUP(C27,Hoja1!$H$2:$I$45,2,0),"")</f>
        <v>Si</v>
      </c>
      <c r="G27" s="129" t="str">
        <f t="shared" si="0"/>
        <v>Existe requerimiento pero se requiere actividades  dirigidas a su mantenimiento dentro del marco de las lineas de defensa.</v>
      </c>
      <c r="H27" s="18"/>
      <c r="I27" s="143">
        <f t="shared" si="1"/>
        <v>1</v>
      </c>
      <c r="J27" s="266"/>
    </row>
    <row r="28" spans="1:10" ht="45" x14ac:dyDescent="0.25">
      <c r="A28" s="1"/>
      <c r="B28" s="1"/>
      <c r="C28" s="141">
        <v>10</v>
      </c>
      <c r="D28" s="284"/>
      <c r="E28" s="127" t="str">
        <f>+IFERROR(INDEX(Hoja1!$E$2:$E$45,MATCH('Análisis Resultados'!C28,Hoja1!$H$2:$H$45,0)),"")</f>
        <v>Evaluación a los servidores públicos de acuerdo con el marco normativo que le rige</v>
      </c>
      <c r="F28" s="128" t="str">
        <f>+IFERROR(VLOOKUP(C28,Hoja1!$H$2:$I$45,2,0),"")</f>
        <v>Si</v>
      </c>
      <c r="G28" s="129" t="str">
        <f t="shared" si="0"/>
        <v>Existe requerimiento pero se requiere actividades  dirigidas a su mantenimiento dentro del marco de las lineas de defensa.</v>
      </c>
      <c r="H28" s="18"/>
      <c r="I28" s="143">
        <f t="shared" si="1"/>
        <v>1</v>
      </c>
      <c r="J28" s="266"/>
    </row>
    <row r="29" spans="1:10" ht="45" x14ac:dyDescent="0.25">
      <c r="A29" s="1"/>
      <c r="B29" s="1"/>
      <c r="C29" s="141">
        <v>11</v>
      </c>
      <c r="D29" s="284"/>
      <c r="E29" s="127" t="str">
        <f>+IFERROR(INDEX(Hoja1!$E$2:$E$45,MATCH('Análisis Resultados'!C29,Hoja1!$H$2:$H$45,0)),"")</f>
        <v>Mecanismos de rendición de cuentas a la ciudadanía</v>
      </c>
      <c r="F29" s="128" t="str">
        <f>+IFERROR(VLOOKUP(C29,Hoja1!$H$2:$I$45,2,0),"")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66"/>
    </row>
    <row r="30" spans="1:10" ht="45.75" thickBot="1" x14ac:dyDescent="0.3">
      <c r="A30" s="1"/>
      <c r="B30" s="1"/>
      <c r="C30" s="141">
        <v>12</v>
      </c>
      <c r="D30" s="285"/>
      <c r="E30" s="130" t="str">
        <f>+IFERROR(INDEX(Hoja1!$E$2:$E$45,MATCH('Análisis Resultados'!C30,Hoja1!$H$2:$H$45,0)),"")</f>
        <v>Presentación oportuna de sus informes de gestión a las autoridades competentes</v>
      </c>
      <c r="F30" s="131" t="str">
        <f>+IFERROR(VLOOKUP(C30,Hoja1!$H$2:$I$45,2,0),"")</f>
        <v>Si</v>
      </c>
      <c r="G30" s="132" t="str">
        <f t="shared" si="0"/>
        <v>Existe requerimiento pero se requiere actividades  dirigidas a su mantenimiento dentro del marco de las lineas de defensa.</v>
      </c>
      <c r="H30" s="18"/>
      <c r="I30" s="144">
        <f t="shared" si="1"/>
        <v>1</v>
      </c>
      <c r="J30" s="267"/>
    </row>
    <row r="31" spans="1:10" ht="45" customHeight="1" x14ac:dyDescent="0.25">
      <c r="A31" s="1"/>
      <c r="B31" s="1"/>
      <c r="C31" s="141">
        <v>13</v>
      </c>
      <c r="D31" s="279" t="s">
        <v>61</v>
      </c>
      <c r="E31" s="124" t="str">
        <f>+IFERROR(INDEX(Hoja1!$E$2:$E$45,MATCH('Análisis Resultados'!C31,Hoja1!$H$2:$H$45,0)),"")</f>
        <v>Cada líder del equipo autónomamente toma las acciones para solucionarlos.</v>
      </c>
      <c r="F31" s="125" t="str">
        <f>+IFERROR(VLOOKUP(C31,Hoja1!$H$2:$I$45,2,0),"")</f>
        <v>No</v>
      </c>
      <c r="G31" s="126" t="str">
        <f t="shared" si="0"/>
        <v>No se encuentra el aspecto  por lo tanto la entidad debera generar acciones dirigidas a que se cumpla con el requerimiento.</v>
      </c>
      <c r="H31" s="18"/>
      <c r="I31" s="142">
        <f t="shared" si="1"/>
        <v>0</v>
      </c>
      <c r="J31" s="263">
        <f>+AVERAGE(I31:I40)</f>
        <v>0.65</v>
      </c>
    </row>
    <row r="32" spans="1:10" ht="57" customHeight="1" x14ac:dyDescent="0.25">
      <c r="A32" s="1"/>
      <c r="B32" s="1"/>
      <c r="C32" s="141">
        <v>14</v>
      </c>
      <c r="D32" s="280"/>
      <c r="E32" s="127" t="str">
        <f>+IFERROR(INDEX(Hoja1!$E$2:$E$45,MATCH('Análisis Resultados'!C32,Hoja1!$H$2:$H$45,0)),"")</f>
        <v>Solamente hasta que un organismo de control actúa se definen acciones de mejora.</v>
      </c>
      <c r="F32" s="128" t="str">
        <f>+IFERROR(VLOOKUP(C32,Hoja1!$H$2:$I$45,2,0),"")</f>
        <v>No</v>
      </c>
      <c r="G32" s="129" t="str">
        <f t="shared" si="0"/>
        <v>No se encuentra el aspecto  por lo tanto la entidad debera generar acciones dirigidas a que se cumpla con el requerimiento.</v>
      </c>
      <c r="H32" s="18"/>
      <c r="I32" s="143">
        <f t="shared" si="1"/>
        <v>0</v>
      </c>
      <c r="J32" s="264"/>
    </row>
    <row r="33" spans="1:10" ht="54" customHeight="1" x14ac:dyDescent="0.25">
      <c r="A33" s="1"/>
      <c r="B33" s="1"/>
      <c r="C33" s="141">
        <v>15</v>
      </c>
      <c r="D33" s="280"/>
      <c r="E33" s="127" t="str">
        <f>+IFERROR(INDEX(Hoja1!$E$2:$E$45,MATCH('Análisis Resultados'!C33,Hoja1!$H$2:$H$45,0)),"")</f>
        <v>La identificación  de los riesgos relacionados con posibles actos de corrupción en el ejercicio de sus funciones</v>
      </c>
      <c r="F33" s="128" t="str">
        <f>+IFERROR(VLOOKUP(C33,Hoja1!$H$2:$I$45,2,0),"")</f>
        <v>En proceso</v>
      </c>
      <c r="G33" s="129" t="str">
        <f t="shared" si="0"/>
        <v>Se encuentra en proceso, pero requiere continuar con acciones dirigidas a contar con dicho aspecto de control.</v>
      </c>
      <c r="H33" s="18"/>
      <c r="I33" s="143">
        <f t="shared" si="1"/>
        <v>0.5</v>
      </c>
      <c r="J33" s="264"/>
    </row>
    <row r="34" spans="1:10" ht="42.75" x14ac:dyDescent="0.25">
      <c r="A34" s="1"/>
      <c r="B34" s="1"/>
      <c r="C34" s="141">
        <v>16</v>
      </c>
      <c r="D34" s="280"/>
      <c r="E34" s="127" t="str">
        <f>+IFERROR(INDEX(Hoja1!$E$2:$E$45,MATCH('Análisis Resultados'!C34,Hoja1!$H$2:$H$45,0)),"")</f>
        <v>Hacen seguimiento a los problemas (riesgos)  que pueden afectar el cumplimiento de sus procesos, programas o proyectos a cargo</v>
      </c>
      <c r="F34" s="128" t="str">
        <f>+IFERROR(VLOOKUP(C34,Hoja1!$H$2:$I$45,2,0),"")</f>
        <v>En proceso</v>
      </c>
      <c r="G34" s="129" t="str">
        <f t="shared" si="0"/>
        <v>Se encuentra en proceso, pero requiere continuar con acciones dirigidas a contar con dicho aspecto de control.</v>
      </c>
      <c r="H34" s="18"/>
      <c r="I34" s="143">
        <f t="shared" si="1"/>
        <v>0.5</v>
      </c>
      <c r="J34" s="264"/>
    </row>
    <row r="35" spans="1:10" ht="67.5" customHeight="1" x14ac:dyDescent="0.25">
      <c r="A35" s="1"/>
      <c r="B35" s="1"/>
      <c r="C35" s="141">
        <v>17</v>
      </c>
      <c r="D35" s="280"/>
      <c r="E35" s="127" t="str">
        <f>+IFERROR(INDEX(Hoja1!$E$2:$E$45,MATCH('Análisis Resultados'!C35,Hoja1!$H$2:$H$45,0)),"")</f>
        <v>Informan de manera periódica a quien corresponda sobre el desempeño de las actividades de gestión de riesgos</v>
      </c>
      <c r="F35" s="128" t="str">
        <f>+IFERROR(VLOOKUP(C35,Hoja1!$H$2:$I$45,2,0),"")</f>
        <v>En proceso</v>
      </c>
      <c r="G35" s="129" t="str">
        <f t="shared" si="0"/>
        <v>Se encuentra en proceso, pero requiere continuar con acciones dirigidas a contar con dicho aspecto de control.</v>
      </c>
      <c r="H35" s="18"/>
      <c r="I35" s="143">
        <f t="shared" si="1"/>
        <v>0.5</v>
      </c>
      <c r="J35" s="264"/>
    </row>
    <row r="36" spans="1:10" ht="45" x14ac:dyDescent="0.25">
      <c r="A36" s="1"/>
      <c r="B36" s="1"/>
      <c r="C36" s="141">
        <v>18</v>
      </c>
      <c r="D36" s="280"/>
      <c r="E36" s="127" t="str">
        <f>+IFERROR(INDEX(Hoja1!$E$2:$E$45,MATCH('Análisis Resultados'!C36,Hoja1!$H$2:$H$45,0)),"")</f>
        <v>La identificación de cambios en su entorno que pueden generar consecuencias negativas en su gestión</v>
      </c>
      <c r="F36" s="128" t="str">
        <f>+IFERROR(VLOOKUP(C36,Hoja1!$H$2:$I$45,2,0),"")</f>
        <v>Si</v>
      </c>
      <c r="G36" s="129" t="str">
        <f t="shared" si="0"/>
        <v>Existe requerimiento pero se requiere actividades  dirigidas a su mantenimiento dentro del marco de las lineas de defensa.</v>
      </c>
      <c r="H36" s="18"/>
      <c r="I36" s="143">
        <f t="shared" si="1"/>
        <v>1</v>
      </c>
      <c r="J36" s="264"/>
    </row>
    <row r="37" spans="1:10" ht="57" customHeight="1" x14ac:dyDescent="0.25">
      <c r="A37" s="1"/>
      <c r="B37" s="1"/>
      <c r="C37" s="141">
        <v>19</v>
      </c>
      <c r="D37" s="280"/>
      <c r="E37" s="127" t="str">
        <f>+IFERROR(INDEX(Hoja1!$E$2:$E$45,MATCH('Análisis Resultados'!C37,Hoja1!$H$2:$H$45,0)),"")</f>
        <v>La identificación de aquellos problemas o aspectos que pueden afectar el cumplimiento de los planes de la entidad y en general su gestión institucional (riesgos)</v>
      </c>
      <c r="F37" s="128" t="str">
        <f>+IFERROR(VLOOKUP(C37,Hoja1!$H$2:$I$45,2,0),"")</f>
        <v>Si</v>
      </c>
      <c r="G37" s="129" t="str">
        <f t="shared" si="0"/>
        <v>Existe requerimiento pero se requiere actividades  dirigidas a su mantenimiento dentro del marco de las lineas de defensa.</v>
      </c>
      <c r="H37" s="18"/>
      <c r="I37" s="143">
        <f t="shared" si="1"/>
        <v>1</v>
      </c>
      <c r="J37" s="264"/>
    </row>
    <row r="38" spans="1:10" ht="45" x14ac:dyDescent="0.25">
      <c r="A38" s="1"/>
      <c r="B38" s="1"/>
      <c r="C38" s="141">
        <v>20</v>
      </c>
      <c r="D38" s="280"/>
      <c r="E38" s="127" t="str">
        <f>+IFERROR(INDEX(Hoja1!$E$2:$E$45,MATCH('Análisis Resultados'!C38,Hoja1!$H$2:$H$45,0)),"")</f>
        <v>Si su capacidad e infraestructura lo permite, identificación de riesgos asociados a las tecnologías de la información y las comunicaciones</v>
      </c>
      <c r="F38" s="128" t="str">
        <f>+IFERROR(VLOOKUP(C38,Hoja1!$H$2:$I$45,2,0),"")</f>
        <v>Si</v>
      </c>
      <c r="G38" s="129" t="str">
        <f t="shared" si="0"/>
        <v>Existe requerimiento pero se requiere actividades  dirigidas a su mantenimiento dentro del marco de las lineas de defensa.</v>
      </c>
      <c r="H38" s="18"/>
      <c r="I38" s="143">
        <f t="shared" si="1"/>
        <v>1</v>
      </c>
      <c r="J38" s="264"/>
    </row>
    <row r="39" spans="1:10" ht="45" x14ac:dyDescent="0.25">
      <c r="A39" s="1"/>
      <c r="B39" s="1"/>
      <c r="C39" s="141">
        <v>21</v>
      </c>
      <c r="D39" s="280"/>
      <c r="E39" s="127" t="str">
        <f>+IFERROR(INDEX(Hoja1!$E$2:$E$45,MATCH('Análisis Resultados'!C39,Hoja1!$H$2:$H$45,0)),"")</f>
        <v>Identifican deficiencias en las maneras de  controlar los riesgos o problemas en sus procesos, programas o proyectos, y propone los ajustes necesarios</v>
      </c>
      <c r="F39" s="128" t="str">
        <f>+IFERROR(VLOOKUP(C39,Hoja1!$H$2:$I$45,2,0),"")</f>
        <v>Si</v>
      </c>
      <c r="G39" s="129" t="str">
        <f t="shared" si="0"/>
        <v>Existe requerimiento pero se requiere actividades  dirigidas a su mantenimiento dentro del marco de las lineas de defensa.</v>
      </c>
      <c r="H39" s="18"/>
      <c r="I39" s="143">
        <f t="shared" si="1"/>
        <v>1</v>
      </c>
      <c r="J39" s="264"/>
    </row>
    <row r="40" spans="1:10" ht="45.75" thickBot="1" x14ac:dyDescent="0.3">
      <c r="A40" s="1"/>
      <c r="B40" s="1"/>
      <c r="C40" s="141">
        <v>22</v>
      </c>
      <c r="D40" s="280"/>
      <c r="E40" s="133" t="str">
        <f>+IFERROR(INDEX(Hoja1!$E$2:$E$45,MATCH('Análisis Resultados'!C40,Hoja1!$H$2:$H$45,0)),"")</f>
        <v>Se definen espacios de reunión para conocerlos y proponer acciones para su solución</v>
      </c>
      <c r="F40" s="134" t="str">
        <f>+IFERROR(VLOOKUP(C40,Hoja1!$H$2:$I$45,2,0),"")</f>
        <v>Si</v>
      </c>
      <c r="G40" s="135" t="str">
        <f t="shared" si="0"/>
        <v>Existe requerimiento pero se requiere actividades  dirigidas a su mantenimiento dentro del marco de las lineas de defensa.</v>
      </c>
      <c r="H40" s="18"/>
      <c r="I40" s="145">
        <f t="shared" si="1"/>
        <v>1</v>
      </c>
      <c r="J40" s="264"/>
    </row>
    <row r="41" spans="1:10" ht="87.75" customHeight="1" x14ac:dyDescent="0.25">
      <c r="A41" s="1"/>
      <c r="B41" s="1"/>
      <c r="C41" s="141">
        <v>23</v>
      </c>
      <c r="D41" s="275" t="s">
        <v>79</v>
      </c>
      <c r="E41" s="124" t="str">
        <f>+IFERROR(INDEX(Hoja1!$E$2:$E$45,MATCH('Análisis Resultados'!C41,Hoja1!$H$2:$H$45,0)),"")</f>
        <v>Mecanismos de verificación de si se están o no mitigando los riesgos, o en su defecto, elaboración de planes de contingencia para subsanar sus consecuencias</v>
      </c>
      <c r="F41" s="125" t="str">
        <f>+IFERROR(VLOOKUP(C41,Hoja1!$H$2:$I$45,2,0),"")</f>
        <v>En proceso</v>
      </c>
      <c r="G41" s="126" t="str">
        <f t="shared" si="0"/>
        <v>Se encuentra en proceso, pero requiere continuar con acciones dirigidas a contar con dicho aspecto de control.</v>
      </c>
      <c r="H41" s="18"/>
      <c r="I41" s="142">
        <f t="shared" si="1"/>
        <v>0.5</v>
      </c>
      <c r="J41" s="263">
        <f>+AVERAGE(I41:I45)</f>
        <v>0.7</v>
      </c>
    </row>
    <row r="42" spans="1:10" ht="42.75" x14ac:dyDescent="0.25">
      <c r="A42" s="1"/>
      <c r="B42" s="1"/>
      <c r="C42" s="141">
        <v>24</v>
      </c>
      <c r="D42" s="276"/>
      <c r="E42" s="127" t="str">
        <f>+IFERROR(INDEX(Hoja1!$E$2:$E$45,MATCH('Análisis Resultados'!C42,Hoja1!$H$2:$H$45,0)),"")</f>
        <v>Planes, acciones o estrategias que permitan subsanar las consecuencias de la materialización de los riesgos, cuando se presentan</v>
      </c>
      <c r="F42" s="128" t="str">
        <f>+IFERROR(VLOOKUP(C42,Hoja1!$H$2:$I$45,2,0),"")</f>
        <v>En proceso</v>
      </c>
      <c r="G42" s="129" t="str">
        <f t="shared" si="0"/>
        <v>Se encuentra en proceso, pero requiere continuar con acciones dirigidas a contar con dicho aspecto de control.</v>
      </c>
      <c r="H42" s="18"/>
      <c r="I42" s="143">
        <f t="shared" si="1"/>
        <v>0.5</v>
      </c>
      <c r="J42" s="264"/>
    </row>
    <row r="43" spans="1:10" ht="85.5" customHeight="1" x14ac:dyDescent="0.25">
      <c r="A43" s="1"/>
      <c r="B43" s="1"/>
      <c r="C43" s="141">
        <v>25</v>
      </c>
      <c r="D43" s="276"/>
      <c r="E43" s="127" t="str">
        <f>+IFERROR(INDEX(Hoja1!$E$2:$E$45,MATCH('Análisis Resultados'!C43,Hoja1!$H$2:$H$45,0)),"")</f>
        <v>Un documento que consolide  los riesgos  y el tratamiento que se les da, incluyendo aquellos que conllevan posibles actos de corrupción y si la capacidad e infraestructura lo permite, los asociados con las tecnologías de la información y las comunicaciones</v>
      </c>
      <c r="F43" s="128" t="str">
        <f>+IFERROR(VLOOKUP(C43,Hoja1!$H$2:$I$45,2,0),"")</f>
        <v>En proceso</v>
      </c>
      <c r="G43" s="129" t="str">
        <f t="shared" si="0"/>
        <v>Se encuentra en proceso, pero requiere continuar con acciones dirigidas a contar con dicho aspecto de control.</v>
      </c>
      <c r="H43" s="18"/>
      <c r="I43" s="143">
        <f t="shared" si="1"/>
        <v>0.5</v>
      </c>
      <c r="J43" s="264"/>
    </row>
    <row r="44" spans="1:10" ht="57" customHeight="1" x14ac:dyDescent="0.25">
      <c r="A44" s="1"/>
      <c r="B44" s="1"/>
      <c r="C44" s="141">
        <v>26</v>
      </c>
      <c r="D44" s="276"/>
      <c r="E44" s="127" t="str">
        <f>+IFERROR(INDEX(Hoja1!$E$2:$E$45,MATCH('Análisis Resultados'!C44,Hoja1!$H$2:$H$45,0)),"")</f>
        <v>La definición de acciones o actividades para para dar tratamiento a los problemas identificados (mitigación de riesgos), incluyendo aquellos asociados a posibles actos de corrupción</v>
      </c>
      <c r="F44" s="128" t="str">
        <f>+IFERROR(VLOOKUP(C44,Hoja1!$H$2:$I$45,2,0),"")</f>
        <v>Si</v>
      </c>
      <c r="G44" s="129" t="str">
        <f t="shared" si="0"/>
        <v>Existe requerimiento pero se requiere actividades  dirigidas a su mantenimiento dentro del marco de las lineas de defensa.</v>
      </c>
      <c r="H44" s="18"/>
      <c r="I44" s="143">
        <f t="shared" si="1"/>
        <v>1</v>
      </c>
      <c r="J44" s="264"/>
    </row>
    <row r="45" spans="1:10" ht="57" customHeight="1" thickBot="1" x14ac:dyDescent="0.3">
      <c r="A45" s="1"/>
      <c r="B45" s="1"/>
      <c r="C45" s="141">
        <v>27</v>
      </c>
      <c r="D45" s="277"/>
      <c r="E45" s="130" t="str">
        <f>+IFERROR(INDEX(Hoja1!$E$2:$E$45,MATCH('Análisis Resultados'!C45,Hoja1!$H$2:$H$45,0)),"")</f>
        <v>Un plan anticorrupción y de servicio al ciudadano con los temas que le aplican, publicado en algún medio para conocimiento de la ciudadanía</v>
      </c>
      <c r="F45" s="131" t="str">
        <f>+IFERROR(VLOOKUP(C45,Hoja1!$H$2:$I$45,2,0),"")</f>
        <v>Si</v>
      </c>
      <c r="G45" s="132" t="str">
        <f t="shared" si="0"/>
        <v>Existe requerimiento pero se requiere actividades  dirigidas a su mantenimiento dentro del marco de las lineas de defensa.</v>
      </c>
      <c r="H45" s="18"/>
      <c r="I45" s="144">
        <f t="shared" si="1"/>
        <v>1</v>
      </c>
      <c r="J45" s="278"/>
    </row>
    <row r="46" spans="1:10" ht="63.75" customHeight="1" x14ac:dyDescent="0.25">
      <c r="A46" s="1"/>
      <c r="B46" s="1"/>
      <c r="C46" s="141">
        <v>28</v>
      </c>
      <c r="D46" s="274" t="s">
        <v>87</v>
      </c>
      <c r="E46" s="136" t="str">
        <f>+IFERROR(INDEX(Hoja1!$E$2:$E$45,MATCH('Análisis Resultados'!C46,Hoja1!$H$2:$H$45,0)),"")</f>
        <v>Responsables de la información institucional</v>
      </c>
      <c r="F46" s="137" t="str">
        <f>+IFERROR(VLOOKUP(C46,Hoja1!$H$2:$I$45,2,0),"")</f>
        <v>En proceso</v>
      </c>
      <c r="G46" s="138" t="str">
        <f t="shared" si="0"/>
        <v>Se encuentra en proceso, pero requiere continuar con acciones dirigidas a contar con dicho aspecto de control.</v>
      </c>
      <c r="H46" s="18"/>
      <c r="I46" s="146">
        <f t="shared" si="1"/>
        <v>0.5</v>
      </c>
      <c r="J46" s="264">
        <f>+AVERAGE(I46:I52)</f>
        <v>0.9285714285714286</v>
      </c>
    </row>
    <row r="47" spans="1:10" ht="92.25" customHeight="1" x14ac:dyDescent="0.25">
      <c r="A47" s="1"/>
      <c r="B47" s="1"/>
      <c r="C47" s="141">
        <v>29</v>
      </c>
      <c r="D47" s="274"/>
      <c r="E47" s="127" t="str">
        <f>+IFERROR(INDEX(Hoja1!$E$2:$E$45,MATCH('Análisis Resultados'!C47,Hoja1!$H$2:$H$45,0)),"")</f>
        <v>Canales de comunicación con los ciudadanos</v>
      </c>
      <c r="F47" s="128" t="str">
        <f>+IFERROR(VLOOKUP(C47,Hoja1!$H$2:$I$45,2,0),"")</f>
        <v>Si</v>
      </c>
      <c r="G47" s="139" t="str">
        <f t="shared" si="0"/>
        <v>Existe requerimiento pero se requiere actividades  dirigidas a su mantenimiento dentro del marco de las lineas de defensa.</v>
      </c>
      <c r="H47" s="18"/>
      <c r="I47" s="147">
        <f t="shared" si="1"/>
        <v>1</v>
      </c>
      <c r="J47" s="264"/>
    </row>
    <row r="48" spans="1:10" ht="66.75" customHeight="1" x14ac:dyDescent="0.25">
      <c r="A48" s="1"/>
      <c r="B48" s="1"/>
      <c r="C48" s="141">
        <v>30</v>
      </c>
      <c r="D48" s="274"/>
      <c r="E48" s="127" t="str">
        <f>+IFERROR(INDEX(Hoja1!$E$2:$E$45,MATCH('Análisis Resultados'!C48,Hoja1!$H$2:$H$45,0)),"")</f>
        <v>Canales de comunicación o mecanismos de reporte de información a otros organismos gubernamentales o de control</v>
      </c>
      <c r="F48" s="128" t="str">
        <f>+IFERROR(VLOOKUP(C48,Hoja1!$H$2:$I$45,2,0),"")</f>
        <v>Si</v>
      </c>
      <c r="G48" s="139" t="str">
        <f t="shared" si="0"/>
        <v>Existe requerimiento pero se requiere actividades  dirigidas a su mantenimiento dentro del marco de las lineas de defensa.</v>
      </c>
      <c r="H48" s="18"/>
      <c r="I48" s="147">
        <f t="shared" si="1"/>
        <v>1</v>
      </c>
      <c r="J48" s="264"/>
    </row>
    <row r="49" spans="1:10" ht="60" customHeight="1" x14ac:dyDescent="0.25">
      <c r="A49" s="1"/>
      <c r="B49" s="1"/>
      <c r="C49" s="141">
        <v>31</v>
      </c>
      <c r="D49" s="274"/>
      <c r="E49" s="127" t="str">
        <f>+IFERROR(INDEX(Hoja1!$E$2:$E$45,MATCH('Análisis Resultados'!C49,Hoja1!$H$2:$H$45,0)),"")</f>
        <v xml:space="preserve">Lineamientos para dar tratamiento a la información de carácter reservado </v>
      </c>
      <c r="F49" s="128" t="str">
        <f>+IFERROR(VLOOKUP(C49,Hoja1!$H$2:$I$45,2,0),"")</f>
        <v>Si</v>
      </c>
      <c r="G49" s="139" t="str">
        <f t="shared" si="0"/>
        <v>Existe requerimiento pero se requiere actividades  dirigidas a su mantenimiento dentro del marco de las lineas de defensa.</v>
      </c>
      <c r="H49" s="18"/>
      <c r="I49" s="147">
        <f t="shared" si="1"/>
        <v>1</v>
      </c>
      <c r="J49" s="264"/>
    </row>
    <row r="50" spans="1:10" ht="57" customHeight="1" x14ac:dyDescent="0.25">
      <c r="A50" s="1"/>
      <c r="B50" s="1"/>
      <c r="C50" s="141">
        <v>32</v>
      </c>
      <c r="D50" s="274"/>
      <c r="E50" s="127" t="str">
        <f>+IFERROR(INDEX(Hoja1!$E$2:$E$45,MATCH('Análisis Resultados'!C50,Hoja1!$H$2:$H$45,0)),"")</f>
        <v>Identificación de información que produce en el marco de su gestión (Para los ciudadanos, organismos de control, organismos gubernamentales, entre otros)</v>
      </c>
      <c r="F50" s="128" t="str">
        <f>+IFERROR(VLOOKUP(C50,Hoja1!$H$2:$I$45,2,0),"")</f>
        <v>Si</v>
      </c>
      <c r="G50" s="139" t="str">
        <f t="shared" si="0"/>
        <v>Existe requerimiento pero se requiere actividades  dirigidas a su mantenimiento dentro del marco de las lineas de defensa.</v>
      </c>
      <c r="H50" s="18"/>
      <c r="I50" s="147">
        <f t="shared" si="1"/>
        <v>1</v>
      </c>
      <c r="J50" s="264"/>
    </row>
    <row r="51" spans="1:10" ht="57" customHeight="1" x14ac:dyDescent="0.25">
      <c r="A51" s="1"/>
      <c r="B51" s="1"/>
      <c r="C51" s="141">
        <v>33</v>
      </c>
      <c r="D51" s="274"/>
      <c r="E51" s="127" t="str">
        <f>+IFERROR(INDEX(Hoja1!$E$2:$E$45,MATCH('Análisis Resultados'!C51,Hoja1!$H$2:$H$45,0)),"")</f>
        <v>Identificación de información necesaria para la operación de la entidad (normograma, presupuesto, talento humano, infraestructura física y tecnológica)</v>
      </c>
      <c r="F51" s="128" t="str">
        <f>+IFERROR(VLOOKUP(C51,Hoja1!$H$2:$I$45,2,0),"")</f>
        <v>Si</v>
      </c>
      <c r="G51" s="139" t="str">
        <f t="shared" si="0"/>
        <v>Existe requerimiento pero se requiere actividades  dirigidas a su mantenimiento dentro del marco de las lineas de defensa.</v>
      </c>
      <c r="H51" s="18"/>
      <c r="I51" s="147">
        <f t="shared" si="1"/>
        <v>1</v>
      </c>
      <c r="J51" s="264"/>
    </row>
    <row r="52" spans="1:10" ht="45.75" thickBot="1" x14ac:dyDescent="0.3">
      <c r="A52" s="1"/>
      <c r="B52" s="1"/>
      <c r="C52" s="141">
        <v>34</v>
      </c>
      <c r="D52" s="274"/>
      <c r="E52" s="133" t="str">
        <f>+IFERROR(INDEX(Hoja1!$E$2:$E$45,MATCH('Análisis Resultados'!C52,Hoja1!$H$2:$H$45,0)),"")</f>
        <v>Si su capacidad e infraestructura lo permite, tecnologías de la información y las comunicaciones que soporten estos procesos</v>
      </c>
      <c r="F52" s="134" t="str">
        <f>+IFERROR(VLOOKUP(C52,Hoja1!$H$2:$I$45,2,0),"")</f>
        <v>Si</v>
      </c>
      <c r="G52" s="140" t="str">
        <f t="shared" si="0"/>
        <v>Existe requerimiento pero se requiere actividades  dirigidas a su mantenimiento dentro del marco de las lineas de defensa.</v>
      </c>
      <c r="H52" s="18"/>
      <c r="I52" s="148">
        <f t="shared" si="1"/>
        <v>1</v>
      </c>
      <c r="J52" s="264"/>
    </row>
    <row r="53" spans="1:10" ht="41.25" customHeight="1" x14ac:dyDescent="0.25">
      <c r="A53" s="1"/>
      <c r="B53" s="1"/>
      <c r="C53" s="141">
        <v>35</v>
      </c>
      <c r="D53" s="268" t="s">
        <v>97</v>
      </c>
      <c r="E53" s="124" t="str">
        <f>+IFERROR(INDEX(Hoja1!$E$2:$E$45,MATCH('Análisis Resultados'!C53,Hoja1!$H$2:$H$45,0)),"")</f>
        <v>La entidad participa en el  Comité Municipal de Auditoría?</v>
      </c>
      <c r="F53" s="125" t="str">
        <f>+IFERROR(VLOOKUP(C53,Hoja1!$H$2:$I$45,2,0),"")</f>
        <v>No</v>
      </c>
      <c r="G53" s="126" t="str">
        <f t="shared" si="0"/>
        <v>No se encuentra el aspecto  por lo tanto la entidad debera generar acciones dirigidas a que se cumpla con el requerimiento.</v>
      </c>
      <c r="H53" s="18"/>
      <c r="I53" s="142">
        <f t="shared" si="1"/>
        <v>0</v>
      </c>
      <c r="J53" s="271">
        <f>+AVERAGE(I53:I62)</f>
        <v>0.7</v>
      </c>
    </row>
    <row r="54" spans="1:10" ht="58.5" customHeight="1" x14ac:dyDescent="0.25">
      <c r="A54" s="1"/>
      <c r="B54" s="1"/>
      <c r="C54" s="141">
        <v>36</v>
      </c>
      <c r="D54" s="269"/>
      <c r="E54" s="127" t="str">
        <f>+IFERROR(INDEX(Hoja1!$E$2:$E$45,MATCH('Análisis Resultados'!C54,Hoja1!$H$2:$H$45,0)),"")</f>
        <v>Mecanismos de evaluación de la gestión (cronogramas, indicadores, listas de chequeo u otros)</v>
      </c>
      <c r="F54" s="128" t="str">
        <f>+IFERROR(VLOOKUP(C54,Hoja1!$H$2:$I$45,2,0),"")</f>
        <v>En proceso</v>
      </c>
      <c r="G54" s="129" t="str">
        <f t="shared" si="0"/>
        <v>Se encuentra en proceso, pero requiere continuar con acciones dirigidas a contar con dicho aspecto de control.</v>
      </c>
      <c r="H54" s="18"/>
      <c r="I54" s="143">
        <f t="shared" si="1"/>
        <v>0.5</v>
      </c>
      <c r="J54" s="272"/>
    </row>
    <row r="55" spans="1:10" s="1" customFormat="1" ht="84.75" customHeight="1" x14ac:dyDescent="0.25">
      <c r="C55" s="141">
        <v>37</v>
      </c>
      <c r="D55" s="269"/>
      <c r="E55" s="127" t="str">
        <f>+IFERROR(INDEX(Hoja1!$E$2:$E$45,MATCH('Análisis Resultados'!C55,Hoja1!$H$2:$H$45,0)),"")</f>
        <v>Medidas correctivas en caso de detectarse deficiencias en los ejercicios de evaluación, seguimiento o auditoría</v>
      </c>
      <c r="F55" s="128" t="str">
        <f>+IFERROR(VLOOKUP(C55,Hoja1!$H$2:$I$45,2,0),"")</f>
        <v>En proceso</v>
      </c>
      <c r="G55" s="129" t="str">
        <f t="shared" si="0"/>
        <v>Se encuentra en proceso, pero requiere continuar con acciones dirigidas a contar con dicho aspecto de control.</v>
      </c>
      <c r="H55" s="6"/>
      <c r="I55" s="143">
        <f t="shared" si="1"/>
        <v>0.5</v>
      </c>
      <c r="J55" s="272"/>
    </row>
    <row r="56" spans="1:10" s="1" customFormat="1" ht="78.75" customHeight="1" x14ac:dyDescent="0.25">
      <c r="C56" s="141">
        <v>38</v>
      </c>
      <c r="D56" s="269"/>
      <c r="E56" s="127" t="str">
        <f>+IFERROR(INDEX(Hoja1!$E$2:$E$45,MATCH('Análisis Resultados'!C56,Hoja1!$H$2:$H$45,0)),"")</f>
        <v>Diseñar acciones adecuadas para controlar los problemas que afectan el cumplimiento de las metas y objetivos institucionales (riesgos).</v>
      </c>
      <c r="F56" s="128" t="str">
        <f>+IFERROR(VLOOKUP(C56,Hoja1!$H$2:$I$45,2,0),"")</f>
        <v>En proceso</v>
      </c>
      <c r="G56" s="129" t="str">
        <f t="shared" si="0"/>
        <v>Se encuentra en proceso, pero requiere continuar con acciones dirigidas a contar con dicho aspecto de control.</v>
      </c>
      <c r="H56" s="6"/>
      <c r="I56" s="143">
        <f t="shared" si="1"/>
        <v>0.5</v>
      </c>
      <c r="J56" s="272"/>
    </row>
    <row r="57" spans="1:10" s="1" customFormat="1" ht="54.75" customHeight="1" x14ac:dyDescent="0.25">
      <c r="C57" s="141">
        <v>39</v>
      </c>
      <c r="D57" s="269"/>
      <c r="E57" s="127" t="str">
        <f>+IFERROR(INDEX(Hoja1!$E$2:$E$45,MATCH('Análisis Resultados'!C57,Hoja1!$H$2:$H$45,0)),"")</f>
        <v>Ejecutar las acciones de acuerdo a como se diseñaron previamente.</v>
      </c>
      <c r="F57" s="128" t="str">
        <f>+IFERROR(VLOOKUP(C57,Hoja1!$H$2:$I$45,2,0),"")</f>
        <v>En proceso</v>
      </c>
      <c r="G57" s="129" t="str">
        <f t="shared" si="0"/>
        <v>Se encuentra en proceso, pero requiere continuar con acciones dirigidas a contar con dicho aspecto de control.</v>
      </c>
      <c r="H57" s="6"/>
      <c r="I57" s="143">
        <f t="shared" si="1"/>
        <v>0.5</v>
      </c>
      <c r="J57" s="272"/>
    </row>
    <row r="58" spans="1:10" s="1" customFormat="1" ht="68.25" customHeight="1" x14ac:dyDescent="0.25">
      <c r="C58" s="141">
        <v>40</v>
      </c>
      <c r="D58" s="269"/>
      <c r="E58" s="127" t="str">
        <f>+IFERROR(INDEX(Hoja1!$E$2:$E$45,MATCH('Análisis Resultados'!C58,Hoja1!$H$2:$H$45,0)),"")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8" s="128" t="str">
        <f>+IFERROR(VLOOKUP(C58,Hoja1!$H$2:$I$45,2,0),"")</f>
        <v>Si</v>
      </c>
      <c r="G58" s="129" t="str">
        <f t="shared" si="0"/>
        <v>Existe requerimiento pero se requiere actividades  dirigidas a su mantenimiento dentro del marco de las lineas de defensa.</v>
      </c>
      <c r="H58" s="6"/>
      <c r="I58" s="143">
        <f t="shared" si="1"/>
        <v>1</v>
      </c>
      <c r="J58" s="272"/>
    </row>
    <row r="59" spans="1:10" s="1" customFormat="1" ht="45" customHeight="1" x14ac:dyDescent="0.25">
      <c r="C59" s="141">
        <v>41</v>
      </c>
      <c r="D59" s="269"/>
      <c r="E59" s="127" t="str">
        <f>+IFERROR(INDEX(Hoja1!$E$2:$E$45,MATCH('Análisis Resultados'!C59,Hoja1!$H$2:$H$45,0)),"")</f>
        <v>Seguimiento a los planes de mejoramiento suscritos con instancias de control internas o externas</v>
      </c>
      <c r="F59" s="128" t="str">
        <f>+IFERROR(VLOOKUP(C59,Hoja1!$H$2:$I$45,2,0),"")</f>
        <v>Si</v>
      </c>
      <c r="G59" s="129" t="str">
        <f t="shared" si="0"/>
        <v>Existe requerimiento pero se requiere actividades  dirigidas a su mantenimiento dentro del marco de las lineas de defensa.</v>
      </c>
      <c r="H59" s="6"/>
      <c r="I59" s="143">
        <f t="shared" si="1"/>
        <v>1</v>
      </c>
      <c r="J59" s="272"/>
    </row>
    <row r="60" spans="1:10" s="1" customFormat="1" ht="51.75" customHeight="1" x14ac:dyDescent="0.25">
      <c r="C60" s="141">
        <v>42</v>
      </c>
      <c r="D60" s="269"/>
      <c r="E60" s="127" t="str">
        <f>+IFERROR(INDEX(Hoja1!$E$2:$E$45,MATCH('Análisis Resultados'!C60,Hoja1!$H$2:$H$45,0)),"")</f>
        <v>Evitar que los problemas (riesgos) obstaculicen el cumplimiento de los objetivos.</v>
      </c>
      <c r="F60" s="128" t="str">
        <f>+IFERROR(VLOOKUP(C60,Hoja1!$H$2:$I$45,2,0),"")</f>
        <v>Si</v>
      </c>
      <c r="G60" s="129" t="str">
        <f t="shared" si="0"/>
        <v>Existe requerimiento pero se requiere actividades  dirigidas a su mantenimiento dentro del marco de las lineas de defensa.</v>
      </c>
      <c r="H60" s="6"/>
      <c r="I60" s="143">
        <f t="shared" si="1"/>
        <v>1</v>
      </c>
      <c r="J60" s="272"/>
    </row>
    <row r="61" spans="1:10" s="1" customFormat="1" ht="84" customHeight="1" x14ac:dyDescent="0.25">
      <c r="C61" s="141">
        <v>43</v>
      </c>
      <c r="D61" s="269"/>
      <c r="E61" s="127" t="str">
        <f>+IFERROR(INDEX(Hoja1!$E$2:$E$45,MATCH('Análisis Resultados'!C61,Hoja1!$H$2:$H$45,0)),"")</f>
        <v>Controlar los puntos críticos en los procesos.</v>
      </c>
      <c r="F61" s="128" t="str">
        <f>+IFERROR(VLOOKUP(C61,Hoja1!$H$2:$I$45,2,0),"")</f>
        <v>Si</v>
      </c>
      <c r="G61" s="129" t="str">
        <f t="shared" si="0"/>
        <v>Existe requerimiento pero se requiere actividades  dirigidas a su mantenimiento dentro del marco de las lineas de defensa.</v>
      </c>
      <c r="H61" s="6"/>
      <c r="I61" s="143">
        <f t="shared" si="1"/>
        <v>1</v>
      </c>
      <c r="J61" s="272"/>
    </row>
    <row r="62" spans="1:10" s="1" customFormat="1" ht="60" customHeight="1" thickBot="1" x14ac:dyDescent="0.3">
      <c r="C62" s="141">
        <v>44</v>
      </c>
      <c r="D62" s="270"/>
      <c r="E62" s="130" t="str">
        <f>+IFERROR(INDEX(Hoja1!$E$2:$E$45,MATCH('Análisis Resultados'!C62,Hoja1!$H$2:$H$45,0)),"")</f>
        <v>No se gestionan los problemas que afectan el cumplimiento de las funciones y objetivos institucionales(riesgos).</v>
      </c>
      <c r="F62" s="131" t="str">
        <f>+IFERROR(VLOOKUP(C62,Hoja1!$H$2:$I$45,2,0),"")</f>
        <v>Si</v>
      </c>
      <c r="G62" s="132" t="str">
        <f t="shared" si="0"/>
        <v>Existe requerimiento pero se requiere actividades  dirigidas a su mantenimiento dentro del marco de las lineas de defensa.</v>
      </c>
      <c r="H62" s="6"/>
      <c r="I62" s="144">
        <f t="shared" si="1"/>
        <v>1</v>
      </c>
      <c r="J62" s="273"/>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44" zoomScaleNormal="44" workbookViewId="0">
      <selection activeCell="I34" sqref="I34:M34"/>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01" t="s">
        <v>124</v>
      </c>
      <c r="F4" s="303" t="s">
        <v>191</v>
      </c>
      <c r="G4" s="303"/>
      <c r="H4" s="303"/>
      <c r="I4" s="303"/>
      <c r="J4" s="303"/>
      <c r="K4" s="303"/>
      <c r="L4" s="303"/>
      <c r="M4" s="303"/>
      <c r="N4" s="7"/>
      <c r="O4" s="7"/>
      <c r="P4" s="8"/>
      <c r="Q4" s="1"/>
    </row>
    <row r="5" spans="1:17" ht="45.75" customHeight="1" x14ac:dyDescent="0.3">
      <c r="A5" s="1"/>
      <c r="B5" s="5"/>
      <c r="C5" s="6"/>
      <c r="D5" s="6"/>
      <c r="E5" s="302"/>
      <c r="F5" s="303"/>
      <c r="G5" s="303"/>
      <c r="H5" s="303"/>
      <c r="I5" s="303"/>
      <c r="J5" s="303"/>
      <c r="K5" s="303"/>
      <c r="L5" s="303"/>
      <c r="M5" s="303"/>
      <c r="N5" s="7"/>
      <c r="O5" s="7"/>
      <c r="P5" s="8"/>
      <c r="Q5" s="1"/>
    </row>
    <row r="6" spans="1:17" ht="66.75" customHeight="1" x14ac:dyDescent="0.3">
      <c r="A6" s="1"/>
      <c r="B6" s="5"/>
      <c r="C6" s="6"/>
      <c r="D6" s="6"/>
      <c r="E6" s="96" t="s">
        <v>125</v>
      </c>
      <c r="F6" s="304" t="s">
        <v>231</v>
      </c>
      <c r="G6" s="305"/>
      <c r="H6" s="305"/>
      <c r="I6" s="305"/>
      <c r="J6" s="305"/>
      <c r="K6" s="305"/>
      <c r="L6" s="305"/>
      <c r="M6" s="306"/>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07" t="s">
        <v>126</v>
      </c>
      <c r="J8" s="308"/>
      <c r="K8" s="309"/>
      <c r="L8" s="6"/>
      <c r="M8" s="149">
        <f>+AVERAGE(G26,G28,G30,G32,G34)</f>
        <v>0.7790476190476191</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10" t="s">
        <v>127</v>
      </c>
      <c r="D18" s="311"/>
      <c r="E18" s="311"/>
      <c r="F18" s="311"/>
      <c r="G18" s="311"/>
      <c r="H18" s="311"/>
      <c r="I18" s="311"/>
      <c r="J18" s="311"/>
      <c r="K18" s="311"/>
      <c r="L18" s="311"/>
      <c r="M18" s="312"/>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13" t="s">
        <v>128</v>
      </c>
      <c r="D20" s="314"/>
      <c r="E20" s="152" t="s">
        <v>76</v>
      </c>
      <c r="F20" s="315" t="s">
        <v>236</v>
      </c>
      <c r="G20" s="315"/>
      <c r="H20" s="315"/>
      <c r="I20" s="315"/>
      <c r="J20" s="315"/>
      <c r="K20" s="315"/>
      <c r="L20" s="315"/>
      <c r="M20" s="316"/>
      <c r="N20" s="15"/>
      <c r="O20" s="15"/>
      <c r="P20" s="8"/>
      <c r="Q20" s="1"/>
    </row>
    <row r="21" spans="1:17" ht="126.75" customHeight="1" x14ac:dyDescent="0.25">
      <c r="A21" s="1"/>
      <c r="B21" s="5"/>
      <c r="C21" s="297" t="s">
        <v>129</v>
      </c>
      <c r="D21" s="298"/>
      <c r="E21" s="153" t="s">
        <v>36</v>
      </c>
      <c r="F21" s="317" t="s">
        <v>237</v>
      </c>
      <c r="G21" s="317"/>
      <c r="H21" s="317"/>
      <c r="I21" s="317"/>
      <c r="J21" s="317"/>
      <c r="K21" s="317"/>
      <c r="L21" s="317"/>
      <c r="M21" s="318"/>
      <c r="N21" s="15"/>
      <c r="O21" s="15"/>
      <c r="P21" s="8"/>
      <c r="Q21" s="1"/>
    </row>
    <row r="22" spans="1:17" ht="151.5" customHeight="1" thickBot="1" x14ac:dyDescent="0.3">
      <c r="A22" s="1"/>
      <c r="B22" s="5"/>
      <c r="C22" s="299" t="s">
        <v>130</v>
      </c>
      <c r="D22" s="300"/>
      <c r="E22" s="154" t="s">
        <v>39</v>
      </c>
      <c r="F22" s="319" t="s">
        <v>238</v>
      </c>
      <c r="G22" s="319"/>
      <c r="H22" s="319"/>
      <c r="I22" s="319"/>
      <c r="J22" s="319"/>
      <c r="K22" s="319"/>
      <c r="L22" s="319"/>
      <c r="M22" s="320"/>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131</v>
      </c>
      <c r="D24" s="100"/>
      <c r="E24" s="99" t="s">
        <v>132</v>
      </c>
      <c r="F24" s="100"/>
      <c r="G24" s="99" t="s">
        <v>133</v>
      </c>
      <c r="H24" s="100"/>
      <c r="I24" s="330" t="s">
        <v>134</v>
      </c>
      <c r="J24" s="330"/>
      <c r="K24" s="330"/>
      <c r="L24" s="330"/>
      <c r="M24" s="330"/>
      <c r="N24" s="33"/>
      <c r="O24" s="33"/>
      <c r="P24" s="8"/>
      <c r="Q24" s="17"/>
    </row>
    <row r="25" spans="1:17" ht="13.5" customHeight="1" thickBot="1" x14ac:dyDescent="0.3">
      <c r="A25" s="1"/>
      <c r="B25" s="5"/>
      <c r="C25" s="32"/>
      <c r="D25" s="18"/>
      <c r="E25" s="18"/>
      <c r="F25" s="18"/>
      <c r="G25" s="18"/>
      <c r="H25" s="18"/>
      <c r="I25" s="334"/>
      <c r="J25" s="334"/>
      <c r="K25" s="334"/>
      <c r="L25" s="334"/>
      <c r="M25" s="334"/>
      <c r="N25" s="34"/>
      <c r="O25" s="34"/>
      <c r="P25" s="8"/>
      <c r="Q25" s="1"/>
    </row>
    <row r="26" spans="1:17" ht="155.25" customHeight="1" thickBot="1" x14ac:dyDescent="0.3">
      <c r="A26" s="1"/>
      <c r="B26" s="5"/>
      <c r="C26" s="90" t="s">
        <v>32</v>
      </c>
      <c r="D26" s="19"/>
      <c r="E26" s="150" t="str">
        <f>+IF(Hoja1!K2&gt;=0.5,"Si","No")</f>
        <v>Si</v>
      </c>
      <c r="F26" s="20"/>
      <c r="G26" s="151">
        <f>+Hoja1!K2</f>
        <v>0.91666666666666663</v>
      </c>
      <c r="H26" s="20"/>
      <c r="I26" s="331" t="s">
        <v>232</v>
      </c>
      <c r="J26" s="332"/>
      <c r="K26" s="332"/>
      <c r="L26" s="332"/>
      <c r="M26" s="333"/>
      <c r="N26" s="35"/>
      <c r="O26" s="36"/>
      <c r="P26" s="21"/>
      <c r="Q26" s="22"/>
    </row>
    <row r="27" spans="1:17" ht="27" thickBot="1" x14ac:dyDescent="0.45">
      <c r="A27" s="1"/>
      <c r="B27" s="5"/>
      <c r="C27" s="91"/>
      <c r="D27" s="23"/>
      <c r="E27" s="98"/>
      <c r="F27" s="18"/>
      <c r="G27" s="24"/>
      <c r="H27" s="18"/>
      <c r="I27" s="335"/>
      <c r="J27" s="335"/>
      <c r="K27" s="335"/>
      <c r="L27" s="335"/>
      <c r="M27" s="335"/>
      <c r="N27" s="37"/>
      <c r="O27" s="37"/>
      <c r="P27" s="8"/>
      <c r="Q27" s="1"/>
    </row>
    <row r="28" spans="1:17" ht="111.75" customHeight="1" thickBot="1" x14ac:dyDescent="0.5">
      <c r="A28" s="1"/>
      <c r="B28" s="5"/>
      <c r="C28" s="92" t="s">
        <v>135</v>
      </c>
      <c r="D28" s="19"/>
      <c r="E28" s="150" t="str">
        <f>+IF(Hoja1!K14&gt;=0.5,"Si","No")</f>
        <v>Si</v>
      </c>
      <c r="F28" s="18"/>
      <c r="G28" s="151">
        <f>+Hoja1!K14</f>
        <v>0.65</v>
      </c>
      <c r="H28" s="18"/>
      <c r="I28" s="321" t="s">
        <v>239</v>
      </c>
      <c r="J28" s="322"/>
      <c r="K28" s="322"/>
      <c r="L28" s="322"/>
      <c r="M28" s="323"/>
      <c r="N28" s="35"/>
      <c r="O28" s="35"/>
      <c r="P28" s="8"/>
      <c r="Q28" s="1"/>
    </row>
    <row r="29" spans="1:17" ht="27" thickBot="1" x14ac:dyDescent="0.45">
      <c r="A29" s="1"/>
      <c r="B29" s="5"/>
      <c r="C29" s="91"/>
      <c r="D29" s="23"/>
      <c r="E29" s="98"/>
      <c r="F29" s="18"/>
      <c r="G29" s="24"/>
      <c r="H29" s="18"/>
      <c r="I29" s="335"/>
      <c r="J29" s="335"/>
      <c r="K29" s="335"/>
      <c r="L29" s="335"/>
      <c r="M29" s="335"/>
      <c r="N29" s="37"/>
      <c r="O29" s="37"/>
      <c r="P29" s="8"/>
      <c r="Q29" s="1"/>
    </row>
    <row r="30" spans="1:17" ht="123" customHeight="1" thickBot="1" x14ac:dyDescent="0.55000000000000004">
      <c r="A30" s="1"/>
      <c r="B30" s="5"/>
      <c r="C30" s="93" t="s">
        <v>136</v>
      </c>
      <c r="D30" s="19"/>
      <c r="E30" s="150" t="str">
        <f>+IF(Hoja1!K24&gt;=0.5,"Si","No")</f>
        <v>Si</v>
      </c>
      <c r="F30" s="18"/>
      <c r="G30" s="151">
        <f>+Hoja1!K24</f>
        <v>0.7</v>
      </c>
      <c r="H30" s="18"/>
      <c r="I30" s="324" t="s">
        <v>240</v>
      </c>
      <c r="J30" s="325"/>
      <c r="K30" s="325"/>
      <c r="L30" s="325"/>
      <c r="M30" s="326"/>
      <c r="N30" s="35"/>
      <c r="O30" s="35"/>
      <c r="P30" s="8"/>
      <c r="Q30" s="1"/>
    </row>
    <row r="31" spans="1:17" ht="27" thickBot="1" x14ac:dyDescent="0.45">
      <c r="A31" s="1"/>
      <c r="B31" s="5"/>
      <c r="C31" s="91"/>
      <c r="D31" s="23"/>
      <c r="E31" s="98"/>
      <c r="F31" s="18"/>
      <c r="G31" s="24"/>
      <c r="H31" s="18"/>
      <c r="I31" s="335"/>
      <c r="J31" s="335"/>
      <c r="K31" s="335"/>
      <c r="L31" s="335"/>
      <c r="M31" s="335"/>
      <c r="N31" s="37"/>
      <c r="O31" s="37"/>
      <c r="P31" s="8"/>
      <c r="Q31" s="1"/>
    </row>
    <row r="32" spans="1:17" ht="171" customHeight="1" thickBot="1" x14ac:dyDescent="0.55000000000000004">
      <c r="A32" s="1"/>
      <c r="B32" s="5"/>
      <c r="C32" s="94" t="s">
        <v>87</v>
      </c>
      <c r="D32" s="19"/>
      <c r="E32" s="150" t="str">
        <f>+IF(Hoja1!K29&gt;=0.5,"Si","No")</f>
        <v>Si</v>
      </c>
      <c r="F32" s="18"/>
      <c r="G32" s="151">
        <f>+Hoja1!K29</f>
        <v>0.9285714285714286</v>
      </c>
      <c r="H32" s="18"/>
      <c r="I32" s="327" t="s">
        <v>241</v>
      </c>
      <c r="J32" s="328"/>
      <c r="K32" s="328"/>
      <c r="L32" s="328"/>
      <c r="M32" s="329"/>
      <c r="N32" s="35"/>
      <c r="O32" s="35"/>
      <c r="P32" s="8"/>
      <c r="Q32" s="1"/>
    </row>
    <row r="33" spans="1:17" ht="27" thickBot="1" x14ac:dyDescent="0.45">
      <c r="A33" s="1"/>
      <c r="B33" s="5"/>
      <c r="C33" s="91"/>
      <c r="D33" s="23"/>
      <c r="E33" s="98"/>
      <c r="F33" s="18"/>
      <c r="G33" s="24"/>
      <c r="H33" s="18"/>
      <c r="I33" s="335"/>
      <c r="J33" s="335"/>
      <c r="K33" s="335"/>
      <c r="L33" s="335"/>
      <c r="M33" s="335"/>
      <c r="N33" s="37"/>
      <c r="O33" s="37"/>
      <c r="P33" s="8"/>
      <c r="Q33" s="1"/>
    </row>
    <row r="34" spans="1:17" ht="164.25" customHeight="1" thickBot="1" x14ac:dyDescent="0.5">
      <c r="A34" s="1"/>
      <c r="B34" s="5"/>
      <c r="C34" s="95" t="s">
        <v>137</v>
      </c>
      <c r="D34" s="19"/>
      <c r="E34" s="97" t="str">
        <f>+IF(Hoja1!K36&gt;=0.5,"Si","No")</f>
        <v>Si</v>
      </c>
      <c r="F34" s="18"/>
      <c r="G34" s="151">
        <f>+Hoja1!K36</f>
        <v>0.7</v>
      </c>
      <c r="H34" s="18"/>
      <c r="I34" s="321" t="s">
        <v>242</v>
      </c>
      <c r="J34" s="322"/>
      <c r="K34" s="322"/>
      <c r="L34" s="322"/>
      <c r="M34" s="323"/>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'C:\Users\dell\Desktop\cesar\HISTORICOS\[2020-04-22_Formato_informe_sci_parametrizado_final.xlsx]Analisis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5" t="s">
        <v>25</v>
      </c>
      <c r="B1" s="155" t="s">
        <v>6</v>
      </c>
      <c r="C1" s="156" t="s">
        <v>8</v>
      </c>
      <c r="D1" s="157" t="s">
        <v>26</v>
      </c>
      <c r="E1" s="157" t="s">
        <v>27</v>
      </c>
      <c r="F1" s="157" t="s">
        <v>138</v>
      </c>
      <c r="G1" s="158" t="s">
        <v>139</v>
      </c>
      <c r="H1" s="158" t="s">
        <v>140</v>
      </c>
      <c r="I1" s="158" t="s">
        <v>119</v>
      </c>
      <c r="J1" s="158" t="s">
        <v>141</v>
      </c>
      <c r="K1" s="158" t="s">
        <v>142</v>
      </c>
    </row>
    <row r="2" spans="1:11" x14ac:dyDescent="0.25">
      <c r="A2" s="159" t="s">
        <v>143</v>
      </c>
      <c r="B2" s="159" t="str">
        <f>+VLOOKUP(A2,'Estado SCI'!$A$16:$C$59,3,0)</f>
        <v>AMBIENTE DE CONTROL</v>
      </c>
      <c r="C2" s="159" t="s">
        <v>33</v>
      </c>
      <c r="D2" s="159" t="s">
        <v>34</v>
      </c>
      <c r="E2" s="159" t="s">
        <v>35</v>
      </c>
      <c r="F2" s="159" t="str">
        <f>+VLOOKUP(A2,'Estado SCI'!$A$16:$I$59,9,0)</f>
        <v>Mantenimiento del control</v>
      </c>
      <c r="G2" s="159">
        <f>+VLOOKUP(A2,'Estado SCI'!$A$16:$L$59,12,0)</f>
        <v>20.123000000000001</v>
      </c>
      <c r="H2" s="159">
        <f t="shared" ref="H2:H45" si="0">+_xlfn.RANK.EQ(G2,$G$2:$G$45,1)</f>
        <v>2</v>
      </c>
      <c r="I2" s="159" t="str">
        <f>+IF(VLOOKUP(A2,'Estado SCI'!$A$16:$G$59,7,0)="","",VLOOKUP(A2,'Estado SCI'!$A$16:$G$59,7,0))</f>
        <v>Si</v>
      </c>
      <c r="J2" s="160">
        <f>+IF(I2="Si",1,IF(I2="En proceso",0.5,0))</f>
        <v>1</v>
      </c>
      <c r="K2" s="161">
        <f t="shared" ref="K2:K45" si="1">+AVERAGEIF($B$2:$B$45,B2,$J$2:$J$45)</f>
        <v>0.91666666666666663</v>
      </c>
    </row>
    <row r="3" spans="1:11" x14ac:dyDescent="0.25">
      <c r="A3" s="159" t="s">
        <v>144</v>
      </c>
      <c r="B3" s="159" t="s">
        <v>32</v>
      </c>
      <c r="C3" s="159" t="s">
        <v>33</v>
      </c>
      <c r="D3" s="159" t="s">
        <v>37</v>
      </c>
      <c r="E3" s="159" t="s">
        <v>38</v>
      </c>
      <c r="F3" s="159" t="str">
        <f>+VLOOKUP(A3,'Estado SCI'!$A$16:$I$59,9,0)</f>
        <v>Mantenimiento del control</v>
      </c>
      <c r="G3" s="159">
        <f>+VLOOKUP(A3,'Estado SCI'!$A$16:$L$59,12,0)</f>
        <v>20.1234</v>
      </c>
      <c r="H3" s="159">
        <f t="shared" si="0"/>
        <v>3</v>
      </c>
      <c r="I3" s="159" t="str">
        <f>+IF(VLOOKUP(A3,'Estado SCI'!$A$16:$G$59,7,0)="","",VLOOKUP(A3,'Estado SCI'!$A$16:$G$59,7,0))</f>
        <v>Si</v>
      </c>
      <c r="J3" s="160">
        <f t="shared" ref="J3:J45" si="2">+IF(I3="Si",1,IF(I3="En proceso",0.5,0))</f>
        <v>1</v>
      </c>
      <c r="K3" s="161">
        <f t="shared" si="1"/>
        <v>0.91666666666666663</v>
      </c>
    </row>
    <row r="4" spans="1:11" x14ac:dyDescent="0.25">
      <c r="A4" s="159" t="s">
        <v>145</v>
      </c>
      <c r="B4" s="159" t="s">
        <v>32</v>
      </c>
      <c r="C4" s="159" t="s">
        <v>33</v>
      </c>
      <c r="D4" s="159" t="s">
        <v>40</v>
      </c>
      <c r="E4" s="159" t="s">
        <v>41</v>
      </c>
      <c r="F4" s="159" t="str">
        <f>+VLOOKUP(A4,'Estado SCI'!$A$16:$I$59,9,0)</f>
        <v>Mantenimiento del control</v>
      </c>
      <c r="G4" s="159">
        <f>+VLOOKUP(A4,'Estado SCI'!$A$16:$L$59,12,0)</f>
        <v>20.123449999999998</v>
      </c>
      <c r="H4" s="159">
        <f t="shared" si="0"/>
        <v>4</v>
      </c>
      <c r="I4" s="159" t="str">
        <f>+IF(VLOOKUP(A4,'Estado SCI'!$A$16:$G$59,7,0)="","",VLOOKUP(A4,'Estado SCI'!$A$16:$G$59,7,0))</f>
        <v>Si</v>
      </c>
      <c r="J4" s="160">
        <f t="shared" si="2"/>
        <v>1</v>
      </c>
      <c r="K4" s="161">
        <f t="shared" si="1"/>
        <v>0.91666666666666663</v>
      </c>
    </row>
    <row r="5" spans="1:11" x14ac:dyDescent="0.25">
      <c r="A5" s="159" t="s">
        <v>146</v>
      </c>
      <c r="B5" s="159" t="s">
        <v>32</v>
      </c>
      <c r="C5" s="159" t="s">
        <v>33</v>
      </c>
      <c r="D5" s="159" t="s">
        <v>42</v>
      </c>
      <c r="E5" s="159" t="s">
        <v>43</v>
      </c>
      <c r="F5" s="159" t="str">
        <f>+VLOOKUP(A5,'Estado SCI'!$A$16:$I$59,9,0)</f>
        <v>Mantenimiento del control</v>
      </c>
      <c r="G5" s="159">
        <f>+VLOOKUP(A5,'Estado SCI'!$A$16:$L$59,12,0)</f>
        <v>20.123456000000001</v>
      </c>
      <c r="H5" s="159">
        <f t="shared" si="0"/>
        <v>5</v>
      </c>
      <c r="I5" s="159" t="str">
        <f>+IF(VLOOKUP(A5,'Estado SCI'!$A$16:$G$59,7,0)="","",VLOOKUP(A5,'Estado SCI'!$A$16:$G$59,7,0))</f>
        <v>Si</v>
      </c>
      <c r="J5" s="160">
        <f t="shared" si="2"/>
        <v>1</v>
      </c>
      <c r="K5" s="161">
        <f t="shared" si="1"/>
        <v>0.91666666666666663</v>
      </c>
    </row>
    <row r="6" spans="1:11" x14ac:dyDescent="0.25">
      <c r="A6" s="159" t="s">
        <v>147</v>
      </c>
      <c r="B6" s="159" t="s">
        <v>32</v>
      </c>
      <c r="C6" s="159" t="s">
        <v>33</v>
      </c>
      <c r="D6" s="159" t="s">
        <v>44</v>
      </c>
      <c r="E6" s="159" t="s">
        <v>45</v>
      </c>
      <c r="F6" s="159" t="str">
        <f>+VLOOKUP(A6,'Estado SCI'!$A$16:$I$59,9,0)</f>
        <v>Mantenimiento del control</v>
      </c>
      <c r="G6" s="159">
        <f>+VLOOKUP(A6,'Estado SCI'!$A$16:$L$59,12,0)</f>
        <v>20.123456780000001</v>
      </c>
      <c r="H6" s="159">
        <f t="shared" si="0"/>
        <v>6</v>
      </c>
      <c r="I6" s="159" t="str">
        <f>+IF(VLOOKUP(A6,'Estado SCI'!$A$16:$G$59,7,0)="","",VLOOKUP(A6,'Estado SCI'!$A$16:$G$59,7,0))</f>
        <v>Si</v>
      </c>
      <c r="J6" s="160">
        <f t="shared" si="2"/>
        <v>1</v>
      </c>
      <c r="K6" s="161">
        <f t="shared" si="1"/>
        <v>0.91666666666666663</v>
      </c>
    </row>
    <row r="7" spans="1:11" x14ac:dyDescent="0.25">
      <c r="A7" s="159" t="s">
        <v>148</v>
      </c>
      <c r="B7" s="159" t="s">
        <v>32</v>
      </c>
      <c r="C7" s="159" t="s">
        <v>33</v>
      </c>
      <c r="D7" s="159" t="s">
        <v>46</v>
      </c>
      <c r="E7" s="159" t="s">
        <v>47</v>
      </c>
      <c r="F7" s="159" t="str">
        <f>+VLOOKUP(A7,'Estado SCI'!$A$16:$I$59,9,0)</f>
        <v>Mantenimiento del control</v>
      </c>
      <c r="G7" s="159">
        <f>+VLOOKUP(A7,'Estado SCI'!$A$16:$L$59,12,0)</f>
        <v>20.123456788999999</v>
      </c>
      <c r="H7" s="159">
        <f t="shared" si="0"/>
        <v>7</v>
      </c>
      <c r="I7" s="159" t="str">
        <f>+IF(VLOOKUP(A7,'Estado SCI'!$A$16:$G$59,7,0)="","",VLOOKUP(A7,'Estado SCI'!$A$16:$G$59,7,0))</f>
        <v>Si</v>
      </c>
      <c r="J7" s="160">
        <f t="shared" si="2"/>
        <v>1</v>
      </c>
      <c r="K7" s="161">
        <f t="shared" si="1"/>
        <v>0.91666666666666663</v>
      </c>
    </row>
    <row r="8" spans="1:11" x14ac:dyDescent="0.25">
      <c r="A8" s="159" t="s">
        <v>149</v>
      </c>
      <c r="B8" s="159" t="s">
        <v>32</v>
      </c>
      <c r="C8" s="159" t="s">
        <v>33</v>
      </c>
      <c r="D8" s="159" t="s">
        <v>48</v>
      </c>
      <c r="E8" s="159" t="s">
        <v>49</v>
      </c>
      <c r="F8" s="159" t="str">
        <f>+VLOOKUP(A8,'Estado SCI'!$A$16:$I$59,9,0)</f>
        <v>Mantenimiento del control</v>
      </c>
      <c r="G8" s="159">
        <f>+VLOOKUP(A8,'Estado SCI'!$A$16:$L$59,12,0)</f>
        <v>20.1234567891</v>
      </c>
      <c r="H8" s="159">
        <f t="shared" si="0"/>
        <v>8</v>
      </c>
      <c r="I8" s="159" t="str">
        <f>+IF(VLOOKUP(A8,'Estado SCI'!$A$16:$G$59,7,0)="","",VLOOKUP(A8,'Estado SCI'!$A$16:$G$59,7,0))</f>
        <v>Si</v>
      </c>
      <c r="J8" s="160">
        <f t="shared" si="2"/>
        <v>1</v>
      </c>
      <c r="K8" s="161">
        <f t="shared" si="1"/>
        <v>0.91666666666666663</v>
      </c>
    </row>
    <row r="9" spans="1:11" x14ac:dyDescent="0.25">
      <c r="A9" s="159" t="s">
        <v>150</v>
      </c>
      <c r="B9" s="159" t="s">
        <v>32</v>
      </c>
      <c r="C9" s="159" t="s">
        <v>33</v>
      </c>
      <c r="D9" s="159" t="s">
        <v>50</v>
      </c>
      <c r="E9" s="159" t="s">
        <v>51</v>
      </c>
      <c r="F9" s="159" t="str">
        <f>+VLOOKUP(A9,'Estado SCI'!$A$16:$I$59,9,0)</f>
        <v>Mantenimiento del control</v>
      </c>
      <c r="G9" s="159">
        <f>+VLOOKUP(A9,'Estado SCI'!$A$16:$L$59,12,0)</f>
        <v>20.123456789119999</v>
      </c>
      <c r="H9" s="159">
        <f t="shared" si="0"/>
        <v>9</v>
      </c>
      <c r="I9" s="159" t="str">
        <f>+IF(VLOOKUP(A9,'Estado SCI'!$A$16:$G$59,7,0)="","",VLOOKUP(A9,'Estado SCI'!$A$16:$G$59,7,0))</f>
        <v>Si</v>
      </c>
      <c r="J9" s="160">
        <f t="shared" si="2"/>
        <v>1</v>
      </c>
      <c r="K9" s="161">
        <f t="shared" si="1"/>
        <v>0.91666666666666663</v>
      </c>
    </row>
    <row r="10" spans="1:11" x14ac:dyDescent="0.25">
      <c r="A10" s="159" t="s">
        <v>151</v>
      </c>
      <c r="B10" s="159" t="s">
        <v>32</v>
      </c>
      <c r="C10" s="159" t="s">
        <v>33</v>
      </c>
      <c r="D10" s="159" t="s">
        <v>52</v>
      </c>
      <c r="E10" s="159" t="s">
        <v>53</v>
      </c>
      <c r="F10" s="159" t="str">
        <f>+VLOOKUP(A10,'Estado SCI'!$A$16:$I$59,9,0)</f>
        <v>Mantenimiento del control</v>
      </c>
      <c r="G10" s="159">
        <f>+VLOOKUP(A10,'Estado SCI'!$A$16:$L$59,12,0)</f>
        <v>20.123456789123001</v>
      </c>
      <c r="H10" s="159">
        <f t="shared" si="0"/>
        <v>10</v>
      </c>
      <c r="I10" s="159" t="str">
        <f>+IF(VLOOKUP(A10,'Estado SCI'!$A$16:$G$59,7,0)="","",VLOOKUP(A10,'Estado SCI'!$A$16:$G$59,7,0))</f>
        <v>Si</v>
      </c>
      <c r="J10" s="160">
        <f t="shared" si="2"/>
        <v>1</v>
      </c>
      <c r="K10" s="161">
        <f t="shared" si="1"/>
        <v>0.91666666666666663</v>
      </c>
    </row>
    <row r="11" spans="1:11" x14ac:dyDescent="0.25">
      <c r="A11" s="159" t="s">
        <v>152</v>
      </c>
      <c r="B11" s="159" t="s">
        <v>32</v>
      </c>
      <c r="C11" s="159" t="s">
        <v>33</v>
      </c>
      <c r="D11" s="159" t="s">
        <v>54</v>
      </c>
      <c r="E11" s="159" t="s">
        <v>55</v>
      </c>
      <c r="F11" s="159" t="str">
        <f>+VLOOKUP(A11,'Estado SCI'!$A$16:$I$59,9,0)</f>
        <v>Deficiencia de control</v>
      </c>
      <c r="G11" s="159">
        <f>+VLOOKUP(A11,'Estado SCI'!$A$16:$L$59,12,0)</f>
        <v>0.1234567891234</v>
      </c>
      <c r="H11" s="159">
        <f t="shared" si="0"/>
        <v>1</v>
      </c>
      <c r="I11" s="159" t="str">
        <f>+IF(VLOOKUP(A11,'Estado SCI'!$A$16:$G$59,7,0)="","",VLOOKUP(A11,'Estado SCI'!$A$16:$G$59,7,0))</f>
        <v>No</v>
      </c>
      <c r="J11" s="160">
        <f t="shared" si="2"/>
        <v>0</v>
      </c>
      <c r="K11" s="161">
        <f t="shared" si="1"/>
        <v>0.91666666666666663</v>
      </c>
    </row>
    <row r="12" spans="1:11" x14ac:dyDescent="0.25">
      <c r="A12" s="159" t="s">
        <v>153</v>
      </c>
      <c r="B12" s="159" t="s">
        <v>32</v>
      </c>
      <c r="C12" s="159" t="s">
        <v>33</v>
      </c>
      <c r="D12" s="159" t="s">
        <v>56</v>
      </c>
      <c r="E12" s="159" t="s">
        <v>57</v>
      </c>
      <c r="F12" s="159" t="str">
        <f>+VLOOKUP(A12,'Estado SCI'!$A$16:$I$59,9,0)</f>
        <v>Mantenimiento del control</v>
      </c>
      <c r="G12" s="159">
        <f>+VLOOKUP(A12,'Estado SCI'!$A$16:$L$59,12,0)</f>
        <v>20.123456789123448</v>
      </c>
      <c r="H12" s="159">
        <f t="shared" si="0"/>
        <v>11</v>
      </c>
      <c r="I12" s="159" t="str">
        <f>+IF(VLOOKUP(A12,'Estado SCI'!$A$16:$G$59,7,0)="","",VLOOKUP(A12,'Estado SCI'!$A$16:$G$59,7,0))</f>
        <v>Si</v>
      </c>
      <c r="J12" s="160">
        <f t="shared" si="2"/>
        <v>1</v>
      </c>
      <c r="K12" s="161">
        <f t="shared" si="1"/>
        <v>0.91666666666666663</v>
      </c>
    </row>
    <row r="13" spans="1:11" x14ac:dyDescent="0.25">
      <c r="A13" s="159" t="s">
        <v>154</v>
      </c>
      <c r="B13" s="159" t="s">
        <v>32</v>
      </c>
      <c r="C13" s="159" t="s">
        <v>33</v>
      </c>
      <c r="D13" s="159" t="s">
        <v>58</v>
      </c>
      <c r="E13" s="159" t="s">
        <v>59</v>
      </c>
      <c r="F13" s="159" t="str">
        <f>+VLOOKUP(A13,'Estado SCI'!$A$16:$I$59,9,0)</f>
        <v>Mantenimiento del control</v>
      </c>
      <c r="G13" s="159">
        <f>+VLOOKUP(A13,'Estado SCI'!$A$16:$L$59,12,0)</f>
        <v>20.123456789123455</v>
      </c>
      <c r="H13" s="159">
        <f t="shared" si="0"/>
        <v>12</v>
      </c>
      <c r="I13" s="159" t="str">
        <f>+IF(VLOOKUP(A13,'Estado SCI'!$A$16:$G$59,7,0)="","",VLOOKUP(A13,'Estado SCI'!$A$16:$G$59,7,0))</f>
        <v>Si</v>
      </c>
      <c r="J13" s="160">
        <f t="shared" si="2"/>
        <v>1</v>
      </c>
      <c r="K13" s="161">
        <f t="shared" si="1"/>
        <v>0.91666666666666663</v>
      </c>
    </row>
    <row r="14" spans="1:11" ht="15" customHeight="1" x14ac:dyDescent="0.25">
      <c r="A14" s="159" t="s">
        <v>155</v>
      </c>
      <c r="B14" s="159" t="str">
        <f>+VLOOKUP(A14,'Estado SCI'!$A$16:$C$59,3,0)</f>
        <v>EVALUACION DEL RIESGO</v>
      </c>
      <c r="C14" s="159" t="s">
        <v>62</v>
      </c>
      <c r="D14" s="159" t="s">
        <v>34</v>
      </c>
      <c r="E14" s="159" t="s">
        <v>156</v>
      </c>
      <c r="F14" s="159" t="str">
        <f>+VLOOKUP(A14,'Estado SCI'!$A$16:$I$59,9,0)</f>
        <v>Mantenimiento del control</v>
      </c>
      <c r="G14" s="159">
        <f>+VLOOKUP(A14,'Estado SCI'!$A$16:$L$59,12,0)</f>
        <v>40.229999999999997</v>
      </c>
      <c r="H14" s="159">
        <f t="shared" si="0"/>
        <v>18</v>
      </c>
      <c r="I14" s="159" t="str">
        <f>+IF(VLOOKUP(A14,'Estado SCI'!$A$16:$G$59,7,0)="","",VLOOKUP(A14,'Estado SCI'!$A$16:$G$59,7,0))</f>
        <v>Si</v>
      </c>
      <c r="J14" s="160">
        <f t="shared" si="2"/>
        <v>1</v>
      </c>
      <c r="K14" s="161">
        <f t="shared" si="1"/>
        <v>0.65</v>
      </c>
    </row>
    <row r="15" spans="1:11" ht="15" customHeight="1" x14ac:dyDescent="0.25">
      <c r="A15" s="159" t="s">
        <v>157</v>
      </c>
      <c r="B15" s="159" t="s">
        <v>61</v>
      </c>
      <c r="C15" s="159" t="s">
        <v>62</v>
      </c>
      <c r="D15" s="159" t="s">
        <v>37</v>
      </c>
      <c r="E15" s="159" t="s">
        <v>158</v>
      </c>
      <c r="F15" s="159" t="str">
        <f>+VLOOKUP(A15,'Estado SCI'!$A$16:$I$59,9,0)</f>
        <v>Mantenimiento del control</v>
      </c>
      <c r="G15" s="159">
        <f>+VLOOKUP(A15,'Estado SCI'!$A$16:$L$59,12,0)</f>
        <v>40.234000000000002</v>
      </c>
      <c r="H15" s="159">
        <f t="shared" si="0"/>
        <v>19</v>
      </c>
      <c r="I15" s="159" t="str">
        <f>+IF(VLOOKUP(A15,'Estado SCI'!$A$16:$G$59,7,0)="","",VLOOKUP(A15,'Estado SCI'!$A$16:$G$59,7,0))</f>
        <v>Si</v>
      </c>
      <c r="J15" s="160">
        <f t="shared" si="2"/>
        <v>1</v>
      </c>
      <c r="K15" s="161">
        <f t="shared" si="1"/>
        <v>0.65</v>
      </c>
    </row>
    <row r="16" spans="1:11" ht="15" customHeight="1" x14ac:dyDescent="0.25">
      <c r="A16" s="159" t="s">
        <v>159</v>
      </c>
      <c r="B16" s="159" t="s">
        <v>61</v>
      </c>
      <c r="C16" s="159" t="s">
        <v>62</v>
      </c>
      <c r="D16" s="159" t="s">
        <v>40</v>
      </c>
      <c r="E16" s="159" t="s">
        <v>160</v>
      </c>
      <c r="F16" s="159" t="str">
        <f>+VLOOKUP(A16,'Estado SCI'!$A$16:$I$59,9,0)</f>
        <v>Oportunidad de mejora</v>
      </c>
      <c r="G16" s="159">
        <f>+VLOOKUP(A16,'Estado SCI'!$A$16:$L$59,12,0)</f>
        <v>30.234500000000001</v>
      </c>
      <c r="H16" s="159">
        <f t="shared" si="0"/>
        <v>15</v>
      </c>
      <c r="I16" s="159" t="str">
        <f>+IF(VLOOKUP(A16,'Estado SCI'!$A$16:$G$59,7,0)="","",VLOOKUP(A16,'Estado SCI'!$A$16:$G$59,7,0))</f>
        <v>En proceso</v>
      </c>
      <c r="J16" s="160">
        <f t="shared" si="2"/>
        <v>0.5</v>
      </c>
      <c r="K16" s="161">
        <f t="shared" si="1"/>
        <v>0.65</v>
      </c>
    </row>
    <row r="17" spans="1:11" ht="15.75" customHeight="1" x14ac:dyDescent="0.25">
      <c r="A17" s="159" t="s">
        <v>161</v>
      </c>
      <c r="B17" s="159" t="s">
        <v>61</v>
      </c>
      <c r="C17" s="159" t="s">
        <v>62</v>
      </c>
      <c r="D17" s="159" t="s">
        <v>42</v>
      </c>
      <c r="E17" s="159" t="s">
        <v>66</v>
      </c>
      <c r="F17" s="159" t="str">
        <f>+VLOOKUP(A17,'Estado SCI'!$A$16:$I$59,9,0)</f>
        <v>Mantenimiento del control</v>
      </c>
      <c r="G17" s="159">
        <f>+VLOOKUP(A17,'Estado SCI'!$A$16:$L$59,12,0)</f>
        <v>40.234560000000002</v>
      </c>
      <c r="H17" s="159">
        <f t="shared" si="0"/>
        <v>20</v>
      </c>
      <c r="I17" s="159" t="str">
        <f>+IF(VLOOKUP(A17,'Estado SCI'!$A$16:$G$59,7,0)="","",VLOOKUP(A17,'Estado SCI'!$A$16:$G$59,7,0))</f>
        <v>Si</v>
      </c>
      <c r="J17" s="160">
        <f t="shared" si="2"/>
        <v>1</v>
      </c>
      <c r="K17" s="161">
        <f t="shared" si="1"/>
        <v>0.65</v>
      </c>
    </row>
    <row r="18" spans="1:11" ht="15" customHeight="1" x14ac:dyDescent="0.25">
      <c r="A18" s="159" t="s">
        <v>162</v>
      </c>
      <c r="B18" s="159" t="s">
        <v>61</v>
      </c>
      <c r="C18" s="159" t="s">
        <v>80</v>
      </c>
      <c r="D18" s="159" t="s">
        <v>34</v>
      </c>
      <c r="E18" s="159" t="s">
        <v>69</v>
      </c>
      <c r="F18" s="159" t="str">
        <f>+VLOOKUP(A18,'Estado SCI'!$A$16:$I$59,9,0)</f>
        <v>Oportunidad de mejora</v>
      </c>
      <c r="G18" s="159">
        <f>+VLOOKUP(A18,'Estado SCI'!$A$16:$L$59,12,0)</f>
        <v>30.234566999999998</v>
      </c>
      <c r="H18" s="159">
        <f t="shared" si="0"/>
        <v>16</v>
      </c>
      <c r="I18" s="159" t="str">
        <f>+IF(VLOOKUP(A18,'Estado SCI'!$A$16:$G$59,7,0)="","",VLOOKUP(A18,'Estado SCI'!$A$16:$G$59,7,0))</f>
        <v>En proceso</v>
      </c>
      <c r="J18" s="160">
        <f t="shared" si="2"/>
        <v>0.5</v>
      </c>
      <c r="K18" s="161">
        <f t="shared" si="1"/>
        <v>0.65</v>
      </c>
    </row>
    <row r="19" spans="1:11" ht="15" customHeight="1" x14ac:dyDescent="0.25">
      <c r="A19" s="159" t="s">
        <v>163</v>
      </c>
      <c r="B19" s="159" t="s">
        <v>61</v>
      </c>
      <c r="C19" s="159" t="s">
        <v>80</v>
      </c>
      <c r="D19" s="159" t="s">
        <v>37</v>
      </c>
      <c r="E19" s="159" t="s">
        <v>70</v>
      </c>
      <c r="F19" s="159" t="str">
        <f>+VLOOKUP(A19,'Estado SCI'!$A$16:$I$59,9,0)</f>
        <v>Oportunidad de mejora</v>
      </c>
      <c r="G19" s="159">
        <f>+VLOOKUP(A19,'Estado SCI'!$A$16:$L$59,12,0)</f>
        <v>30.234567800000001</v>
      </c>
      <c r="H19" s="159">
        <f t="shared" si="0"/>
        <v>17</v>
      </c>
      <c r="I19" s="159" t="str">
        <f>+IF(VLOOKUP(A19,'Estado SCI'!$A$16:$G$59,7,0)="","",VLOOKUP(A19,'Estado SCI'!$A$16:$G$59,7,0))</f>
        <v>En proceso</v>
      </c>
      <c r="J19" s="160">
        <f t="shared" si="2"/>
        <v>0.5</v>
      </c>
      <c r="K19" s="161">
        <f t="shared" si="1"/>
        <v>0.65</v>
      </c>
    </row>
    <row r="20" spans="1:11" ht="15" customHeight="1" x14ac:dyDescent="0.25">
      <c r="A20" s="159" t="s">
        <v>164</v>
      </c>
      <c r="B20" s="159" t="s">
        <v>61</v>
      </c>
      <c r="C20" s="159" t="s">
        <v>80</v>
      </c>
      <c r="D20" s="159" t="s">
        <v>40</v>
      </c>
      <c r="E20" s="159" t="s">
        <v>71</v>
      </c>
      <c r="F20" s="159" t="str">
        <f>+VLOOKUP(A20,'Estado SCI'!$A$16:$I$59,9,0)</f>
        <v>Mantenimiento del control</v>
      </c>
      <c r="G20" s="159">
        <f>+VLOOKUP(A20,'Estado SCI'!$A$16:$L$59,12,0)</f>
        <v>40.234567890000001</v>
      </c>
      <c r="H20" s="159">
        <f t="shared" si="0"/>
        <v>21</v>
      </c>
      <c r="I20" s="159" t="str">
        <f>+IF(VLOOKUP(A20,'Estado SCI'!$A$16:$G$59,7,0)="","",VLOOKUP(A20,'Estado SCI'!$A$16:$G$59,7,0))</f>
        <v>Si</v>
      </c>
      <c r="J20" s="160">
        <f t="shared" si="2"/>
        <v>1</v>
      </c>
      <c r="K20" s="161">
        <f t="shared" si="1"/>
        <v>0.65</v>
      </c>
    </row>
    <row r="21" spans="1:11" ht="15.75" customHeight="1" x14ac:dyDescent="0.25">
      <c r="A21" s="159" t="s">
        <v>165</v>
      </c>
      <c r="B21" s="159" t="s">
        <v>61</v>
      </c>
      <c r="C21" s="159" t="s">
        <v>80</v>
      </c>
      <c r="D21" s="159" t="s">
        <v>34</v>
      </c>
      <c r="E21" s="159" t="s">
        <v>74</v>
      </c>
      <c r="F21" s="159" t="str">
        <f>+VLOOKUP(A21,'Estado SCI'!$A$16:$I$59,9,0)</f>
        <v>Mantenimiento del control</v>
      </c>
      <c r="G21" s="159">
        <f>+VLOOKUP(A21,'Estado SCI'!$A$16:$L$59,12,0)</f>
        <v>40.234567891200001</v>
      </c>
      <c r="H21" s="159">
        <f t="shared" si="0"/>
        <v>22</v>
      </c>
      <c r="I21" s="159" t="str">
        <f>+IF(VLOOKUP(A21,'Estado SCI'!$A$16:$G$59,7,0)="","",VLOOKUP(A21,'Estado SCI'!$A$16:$G$59,7,0))</f>
        <v>Si</v>
      </c>
      <c r="J21" s="160">
        <f t="shared" si="2"/>
        <v>1</v>
      </c>
      <c r="K21" s="161">
        <f t="shared" si="1"/>
        <v>0.65</v>
      </c>
    </row>
    <row r="22" spans="1:11" ht="15" customHeight="1" x14ac:dyDescent="0.25">
      <c r="A22" s="159" t="s">
        <v>166</v>
      </c>
      <c r="B22" s="159" t="s">
        <v>61</v>
      </c>
      <c r="C22" s="159" t="s">
        <v>88</v>
      </c>
      <c r="D22" s="159" t="s">
        <v>37</v>
      </c>
      <c r="E22" s="159" t="s">
        <v>75</v>
      </c>
      <c r="F22" s="159" t="str">
        <f>+VLOOKUP(A22,'Estado SCI'!$A$16:$I$59,9,0)</f>
        <v>Deficiencia de control</v>
      </c>
      <c r="G22" s="159">
        <f>+VLOOKUP(A22,'Estado SCI'!$A$16:$L$59,12,0)</f>
        <v>20.23456789123</v>
      </c>
      <c r="H22" s="159">
        <f t="shared" si="0"/>
        <v>13</v>
      </c>
      <c r="I22" s="159" t="str">
        <f>+IF(VLOOKUP(A22,'Estado SCI'!$A$16:$G$59,7,0)="","",VLOOKUP(A22,'Estado SCI'!$A$16:$G$59,7,0))</f>
        <v>No</v>
      </c>
      <c r="J22" s="160">
        <f t="shared" si="2"/>
        <v>0</v>
      </c>
      <c r="K22" s="161">
        <f t="shared" si="1"/>
        <v>0.65</v>
      </c>
    </row>
    <row r="23" spans="1:11" ht="15" customHeight="1" x14ac:dyDescent="0.25">
      <c r="A23" s="159" t="s">
        <v>167</v>
      </c>
      <c r="B23" s="159" t="s">
        <v>61</v>
      </c>
      <c r="C23" s="159" t="s">
        <v>88</v>
      </c>
      <c r="D23" s="159" t="s">
        <v>40</v>
      </c>
      <c r="E23" s="159" t="s">
        <v>77</v>
      </c>
      <c r="F23" s="159" t="str">
        <f>+VLOOKUP(A23,'Estado SCI'!$A$16:$I$59,9,0)</f>
        <v>Deficiencia de control</v>
      </c>
      <c r="G23" s="159">
        <f>+VLOOKUP(A23,'Estado SCI'!$A$16:$L$59,12,0)</f>
        <v>20.234567891234001</v>
      </c>
      <c r="H23" s="159">
        <f t="shared" si="0"/>
        <v>14</v>
      </c>
      <c r="I23" s="159" t="str">
        <f>+IF(VLOOKUP(A23,'Estado SCI'!$A$16:$G$59,7,0)="","",VLOOKUP(A23,'Estado SCI'!$A$16:$G$59,7,0))</f>
        <v>No</v>
      </c>
      <c r="J23" s="160">
        <f t="shared" si="2"/>
        <v>0</v>
      </c>
      <c r="K23" s="161">
        <f t="shared" si="1"/>
        <v>0.65</v>
      </c>
    </row>
    <row r="24" spans="1:11" ht="15" customHeight="1" x14ac:dyDescent="0.25">
      <c r="A24" s="159" t="s">
        <v>168</v>
      </c>
      <c r="B24" s="159" t="str">
        <f>+VLOOKUP(A24,'Estado SCI'!$A$16:$C$59,3,0)</f>
        <v>ACTIVIDADES DE CONTROL</v>
      </c>
      <c r="C24" s="159" t="s">
        <v>88</v>
      </c>
      <c r="D24" s="159" t="s">
        <v>34</v>
      </c>
      <c r="E24" s="159" t="s">
        <v>81</v>
      </c>
      <c r="F24" s="159" t="str">
        <f>+VLOOKUP(A24,'Estado SCI'!$A$16:$I$59,9,0)</f>
        <v>Mantenimiento del control</v>
      </c>
      <c r="G24" s="159">
        <f>+VLOOKUP(A24,'Estado SCI'!$A$16:$L$59,12,0)</f>
        <v>60.31</v>
      </c>
      <c r="H24" s="159">
        <f t="shared" si="0"/>
        <v>26</v>
      </c>
      <c r="I24" s="159" t="str">
        <f>+IF(VLOOKUP(A24,'Estado SCI'!$A$16:$G$59,7,0)="","",VLOOKUP(A24,'Estado SCI'!$A$16:$G$59,7,0))</f>
        <v>Si</v>
      </c>
      <c r="J24" s="160">
        <f t="shared" si="2"/>
        <v>1</v>
      </c>
      <c r="K24" s="161">
        <f t="shared" si="1"/>
        <v>0.7</v>
      </c>
    </row>
    <row r="25" spans="1:11" ht="15" customHeight="1" x14ac:dyDescent="0.25">
      <c r="A25" s="159" t="s">
        <v>169</v>
      </c>
      <c r="B25" s="159" t="s">
        <v>79</v>
      </c>
      <c r="C25" s="159" t="s">
        <v>88</v>
      </c>
      <c r="D25" s="159" t="s">
        <v>37</v>
      </c>
      <c r="E25" s="159" t="s">
        <v>82</v>
      </c>
      <c r="F25" s="159" t="str">
        <f>+VLOOKUP(A25,'Estado SCI'!$A$16:$I$59,9,0)</f>
        <v>Oportunidad de mejora</v>
      </c>
      <c r="G25" s="159">
        <f>+VLOOKUP(A25,'Estado SCI'!$A$16:$L$59,12,0)</f>
        <v>50.323</v>
      </c>
      <c r="H25" s="159">
        <f t="shared" si="0"/>
        <v>23</v>
      </c>
      <c r="I25" s="159" t="str">
        <f>+IF(VLOOKUP(A25,'Estado SCI'!$A$16:$G$59,7,0)="","",VLOOKUP(A25,'Estado SCI'!$A$16:$G$59,7,0))</f>
        <v>En proceso</v>
      </c>
      <c r="J25" s="160">
        <f t="shared" si="2"/>
        <v>0.5</v>
      </c>
      <c r="K25" s="161">
        <f t="shared" si="1"/>
        <v>0.7</v>
      </c>
    </row>
    <row r="26" spans="1:11" ht="15" customHeight="1" x14ac:dyDescent="0.25">
      <c r="A26" s="159" t="s">
        <v>170</v>
      </c>
      <c r="B26" s="159" t="s">
        <v>79</v>
      </c>
      <c r="C26" s="159" t="s">
        <v>88</v>
      </c>
      <c r="D26" s="159" t="s">
        <v>40</v>
      </c>
      <c r="E26" s="159" t="s">
        <v>83</v>
      </c>
      <c r="F26" s="159" t="str">
        <f>+VLOOKUP(A26,'Estado SCI'!$A$16:$I$59,9,0)</f>
        <v>Oportunidad de mejora</v>
      </c>
      <c r="G26" s="159">
        <f>+VLOOKUP(A26,'Estado SCI'!$A$16:$L$59,12,0)</f>
        <v>50.323999999999998</v>
      </c>
      <c r="H26" s="159">
        <f t="shared" si="0"/>
        <v>24</v>
      </c>
      <c r="I26" s="159" t="str">
        <f>+IF(VLOOKUP(A26,'Estado SCI'!$A$16:$G$59,7,0)="","",VLOOKUP(A26,'Estado SCI'!$A$16:$G$59,7,0))</f>
        <v>En proceso</v>
      </c>
      <c r="J26" s="160">
        <f t="shared" si="2"/>
        <v>0.5</v>
      </c>
      <c r="K26" s="161">
        <f t="shared" si="1"/>
        <v>0.7</v>
      </c>
    </row>
    <row r="27" spans="1:11" ht="15.75" customHeight="1" x14ac:dyDescent="0.25">
      <c r="A27" s="159" t="s">
        <v>171</v>
      </c>
      <c r="B27" s="159" t="s">
        <v>79</v>
      </c>
      <c r="C27" s="159" t="s">
        <v>88</v>
      </c>
      <c r="D27" s="159" t="s">
        <v>42</v>
      </c>
      <c r="E27" s="159" t="s">
        <v>84</v>
      </c>
      <c r="F27" s="159" t="str">
        <f>+VLOOKUP(A27,'Estado SCI'!$A$16:$I$59,9,0)</f>
        <v>Oportunidad de mejora</v>
      </c>
      <c r="G27" s="159">
        <f>+VLOOKUP(A27,'Estado SCI'!$A$16:$L$59,12,0)</f>
        <v>50.325000000000003</v>
      </c>
      <c r="H27" s="159">
        <f t="shared" si="0"/>
        <v>25</v>
      </c>
      <c r="I27" s="159" t="str">
        <f>+IF(VLOOKUP(A27,'Estado SCI'!$A$16:$G$59,7,0)="","",VLOOKUP(A27,'Estado SCI'!$A$16:$G$59,7,0))</f>
        <v>En proceso</v>
      </c>
      <c r="J27" s="160">
        <f t="shared" si="2"/>
        <v>0.5</v>
      </c>
      <c r="K27" s="161">
        <f t="shared" si="1"/>
        <v>0.7</v>
      </c>
    </row>
    <row r="28" spans="1:11" ht="15" customHeight="1" x14ac:dyDescent="0.25">
      <c r="A28" s="159" t="s">
        <v>172</v>
      </c>
      <c r="B28" s="159" t="s">
        <v>79</v>
      </c>
      <c r="C28" s="159" t="s">
        <v>98</v>
      </c>
      <c r="D28" s="159" t="s">
        <v>44</v>
      </c>
      <c r="E28" s="159" t="s">
        <v>85</v>
      </c>
      <c r="F28" s="159" t="str">
        <f>+VLOOKUP(A28,'Estado SCI'!$A$16:$I$59,9,0)</f>
        <v>Mantenimiento del control</v>
      </c>
      <c r="G28" s="159">
        <f>+VLOOKUP(A28,'Estado SCI'!$A$16:$L$59,12,0)</f>
        <v>60.326000000000001</v>
      </c>
      <c r="H28" s="159">
        <f t="shared" si="0"/>
        <v>27</v>
      </c>
      <c r="I28" s="159" t="str">
        <f>+IF(VLOOKUP(A28,'Estado SCI'!$A$16:$G$59,7,0)="","",VLOOKUP(A28,'Estado SCI'!$A$16:$G$59,7,0))</f>
        <v>Si</v>
      </c>
      <c r="J28" s="160">
        <f t="shared" si="2"/>
        <v>1</v>
      </c>
      <c r="K28" s="161">
        <f t="shared" si="1"/>
        <v>0.7</v>
      </c>
    </row>
    <row r="29" spans="1:11" ht="15" customHeight="1" x14ac:dyDescent="0.25">
      <c r="A29" s="159" t="s">
        <v>173</v>
      </c>
      <c r="B29" s="159" t="str">
        <f>+VLOOKUP(A29,'Estado SCI'!$A$16:$C$59,3,0)</f>
        <v>INFORMACION Y COMUNICACIÓN</v>
      </c>
      <c r="C29" s="159" t="s">
        <v>98</v>
      </c>
      <c r="D29" s="159" t="s">
        <v>34</v>
      </c>
      <c r="E29" s="159" t="s">
        <v>89</v>
      </c>
      <c r="F29" s="159" t="str">
        <f>+VLOOKUP(A29,'Estado SCI'!$A$16:$I$59,9,0)</f>
        <v>Oportunidad de mejora</v>
      </c>
      <c r="G29" s="159">
        <f>+VLOOKUP(A29,'Estado SCI'!$A$16:$L$59,12,0)</f>
        <v>70.412000000000006</v>
      </c>
      <c r="H29" s="159">
        <f t="shared" si="0"/>
        <v>28</v>
      </c>
      <c r="I29" s="159" t="str">
        <f>+IF(VLOOKUP(A29,'Estado SCI'!$A$16:$G$59,7,0)="","",VLOOKUP(A29,'Estado SCI'!$A$16:$G$59,7,0))</f>
        <v>En proceso</v>
      </c>
      <c r="J29" s="160">
        <f t="shared" si="2"/>
        <v>0.5</v>
      </c>
      <c r="K29" s="161">
        <f t="shared" si="1"/>
        <v>0.9285714285714286</v>
      </c>
    </row>
    <row r="30" spans="1:11" ht="15" customHeight="1" x14ac:dyDescent="0.25">
      <c r="A30" s="159" t="s">
        <v>174</v>
      </c>
      <c r="B30" s="159" t="s">
        <v>87</v>
      </c>
      <c r="C30" s="159" t="s">
        <v>98</v>
      </c>
      <c r="D30" s="159" t="s">
        <v>37</v>
      </c>
      <c r="E30" s="159" t="s">
        <v>90</v>
      </c>
      <c r="F30" s="159" t="str">
        <f>+VLOOKUP(A30,'Estado SCI'!$A$16:$I$59,9,0)</f>
        <v>Mantenimiento del control</v>
      </c>
      <c r="G30" s="159">
        <f>+VLOOKUP(A30,'Estado SCI'!$A$16:$L$59,12,0)</f>
        <v>80.412300000000002</v>
      </c>
      <c r="H30" s="159">
        <f t="shared" si="0"/>
        <v>29</v>
      </c>
      <c r="I30" s="159" t="str">
        <f>+IF(VLOOKUP(A30,'Estado SCI'!$A$16:$G$59,7,0)="","",VLOOKUP(A30,'Estado SCI'!$A$16:$G$59,7,0))</f>
        <v>Si</v>
      </c>
      <c r="J30" s="160">
        <f t="shared" si="2"/>
        <v>1</v>
      </c>
      <c r="K30" s="161">
        <f t="shared" si="1"/>
        <v>0.9285714285714286</v>
      </c>
    </row>
    <row r="31" spans="1:11" ht="15.75" customHeight="1" x14ac:dyDescent="0.25">
      <c r="A31" s="159" t="s">
        <v>175</v>
      </c>
      <c r="B31" s="159" t="s">
        <v>87</v>
      </c>
      <c r="C31" s="159" t="s">
        <v>98</v>
      </c>
      <c r="D31" s="159" t="s">
        <v>40</v>
      </c>
      <c r="E31" s="159" t="s">
        <v>91</v>
      </c>
      <c r="F31" s="159" t="str">
        <f>+VLOOKUP(A31,'Estado SCI'!$A$16:$I$59,9,0)</f>
        <v>Mantenimiento del control</v>
      </c>
      <c r="G31" s="159">
        <f>+VLOOKUP(A31,'Estado SCI'!$A$16:$L$59,12,0)</f>
        <v>80.41234</v>
      </c>
      <c r="H31" s="159">
        <f t="shared" si="0"/>
        <v>30</v>
      </c>
      <c r="I31" s="159" t="str">
        <f>+IF(VLOOKUP(A31,'Estado SCI'!$A$16:$G$59,7,0)="","",VLOOKUP(A31,'Estado SCI'!$A$16:$G$59,7,0))</f>
        <v>Si</v>
      </c>
      <c r="J31" s="160">
        <f t="shared" si="2"/>
        <v>1</v>
      </c>
      <c r="K31" s="161">
        <f t="shared" si="1"/>
        <v>0.9285714285714286</v>
      </c>
    </row>
    <row r="32" spans="1:11" x14ac:dyDescent="0.25">
      <c r="A32" s="159" t="s">
        <v>176</v>
      </c>
      <c r="B32" s="159" t="s">
        <v>87</v>
      </c>
      <c r="C32" s="159" t="s">
        <v>104</v>
      </c>
      <c r="D32" s="159" t="s">
        <v>42</v>
      </c>
      <c r="E32" s="159" t="s">
        <v>92</v>
      </c>
      <c r="F32" s="159" t="str">
        <f>+VLOOKUP(A32,'Estado SCI'!$A$16:$I$59,9,0)</f>
        <v>Mantenimiento del control</v>
      </c>
      <c r="G32" s="159">
        <f>+VLOOKUP(A32,'Estado SCI'!$A$16:$L$59,12,0)</f>
        <v>80.412345000000002</v>
      </c>
      <c r="H32" s="159">
        <f t="shared" si="0"/>
        <v>31</v>
      </c>
      <c r="I32" s="159" t="str">
        <f>+IF(VLOOKUP(A32,'Estado SCI'!$A$16:$G$59,7,0)="","",VLOOKUP(A32,'Estado SCI'!$A$16:$G$59,7,0))</f>
        <v>Si</v>
      </c>
      <c r="J32" s="160">
        <f t="shared" si="2"/>
        <v>1</v>
      </c>
      <c r="K32" s="161">
        <f t="shared" si="1"/>
        <v>0.9285714285714286</v>
      </c>
    </row>
    <row r="33" spans="1:11" x14ac:dyDescent="0.25">
      <c r="A33" s="159" t="s">
        <v>177</v>
      </c>
      <c r="B33" s="159" t="s">
        <v>87</v>
      </c>
      <c r="C33" s="159" t="s">
        <v>178</v>
      </c>
      <c r="D33" s="159" t="s">
        <v>44</v>
      </c>
      <c r="E33" s="159" t="s">
        <v>93</v>
      </c>
      <c r="F33" s="159" t="str">
        <f>+VLOOKUP(A33,'Estado SCI'!$A$16:$I$59,9,0)</f>
        <v>Mantenimiento del control</v>
      </c>
      <c r="G33" s="159">
        <f>+VLOOKUP(A33,'Estado SCI'!$A$16:$L$59,12,0)</f>
        <v>80.412345599999995</v>
      </c>
      <c r="H33" s="159">
        <f t="shared" si="0"/>
        <v>32</v>
      </c>
      <c r="I33" s="159" t="str">
        <f>+IF(VLOOKUP(A33,'Estado SCI'!$A$16:$G$59,7,0)="","",VLOOKUP(A33,'Estado SCI'!$A$16:$G$59,7,0))</f>
        <v>Si</v>
      </c>
      <c r="J33" s="160">
        <f t="shared" si="2"/>
        <v>1</v>
      </c>
      <c r="K33" s="161">
        <f t="shared" si="1"/>
        <v>0.9285714285714286</v>
      </c>
    </row>
    <row r="34" spans="1:11" x14ac:dyDescent="0.25">
      <c r="A34" s="159" t="s">
        <v>179</v>
      </c>
      <c r="B34" s="159" t="s">
        <v>87</v>
      </c>
      <c r="C34" s="159" t="s">
        <v>178</v>
      </c>
      <c r="D34" s="159" t="s">
        <v>46</v>
      </c>
      <c r="E34" s="159" t="s">
        <v>94</v>
      </c>
      <c r="F34" s="159" t="str">
        <f>+VLOOKUP(A34,'Estado SCI'!$A$16:$I$59,9,0)</f>
        <v>Mantenimiento del control</v>
      </c>
      <c r="G34" s="159">
        <f>+VLOOKUP(A34,'Estado SCI'!$A$16:$L$59,12,0)</f>
        <v>80.412345669999993</v>
      </c>
      <c r="H34" s="159">
        <f t="shared" si="0"/>
        <v>33</v>
      </c>
      <c r="I34" s="159" t="str">
        <f>+IF(VLOOKUP(A34,'Estado SCI'!$A$16:$G$59,7,0)="","",VLOOKUP(A34,'Estado SCI'!$A$16:$G$59,7,0))</f>
        <v>Si</v>
      </c>
      <c r="J34" s="160">
        <f t="shared" si="2"/>
        <v>1</v>
      </c>
      <c r="K34" s="161">
        <f t="shared" si="1"/>
        <v>0.9285714285714286</v>
      </c>
    </row>
    <row r="35" spans="1:11" x14ac:dyDescent="0.25">
      <c r="A35" s="159" t="s">
        <v>180</v>
      </c>
      <c r="B35" s="159" t="s">
        <v>87</v>
      </c>
      <c r="C35" s="159" t="s">
        <v>178</v>
      </c>
      <c r="D35" s="159" t="s">
        <v>48</v>
      </c>
      <c r="E35" s="159" t="s">
        <v>95</v>
      </c>
      <c r="F35" s="159" t="str">
        <f>+VLOOKUP(A35,'Estado SCI'!$A$16:$I$59,9,0)</f>
        <v>Mantenimiento del control</v>
      </c>
      <c r="G35" s="159">
        <f>+VLOOKUP(A35,'Estado SCI'!$A$16:$L$59,12,0)</f>
        <v>80.412345677999994</v>
      </c>
      <c r="H35" s="159">
        <f t="shared" si="0"/>
        <v>34</v>
      </c>
      <c r="I35" s="159" t="str">
        <f>+IF(VLOOKUP(A35,'Estado SCI'!$A$16:$G$59,7,0)="","",VLOOKUP(A35,'Estado SCI'!$A$16:$G$59,7,0))</f>
        <v>Si</v>
      </c>
      <c r="J35" s="160">
        <f t="shared" si="2"/>
        <v>1</v>
      </c>
      <c r="K35" s="161">
        <f t="shared" si="1"/>
        <v>0.9285714285714286</v>
      </c>
    </row>
    <row r="36" spans="1:11" x14ac:dyDescent="0.25">
      <c r="A36" s="159" t="s">
        <v>181</v>
      </c>
      <c r="B36" s="159" t="str">
        <f>+VLOOKUP(A36,'Estado SCI'!$A$16:$C$59,3,0)</f>
        <v>ACTIVIDADES DE MONITOREO</v>
      </c>
      <c r="C36" s="159" t="s">
        <v>178</v>
      </c>
      <c r="D36" s="159" t="s">
        <v>34</v>
      </c>
      <c r="E36" s="159" t="s">
        <v>99</v>
      </c>
      <c r="F36" s="159" t="str">
        <f>+VLOOKUP(A36,'Estado SCI'!$A$16:$I$59,9,0)</f>
        <v>Oportunidad de mejora</v>
      </c>
      <c r="G36" s="159">
        <f>+VLOOKUP(A36,'Estado SCI'!$A$16:$L$59,12,0)</f>
        <v>100.851</v>
      </c>
      <c r="H36" s="159">
        <f t="shared" si="0"/>
        <v>36</v>
      </c>
      <c r="I36" s="159" t="str">
        <f>+IF(VLOOKUP(A36,'Estado SCI'!$A$16:$G$59,7,0)="","",VLOOKUP(A36,'Estado SCI'!$A$16:$G$59,7,0))</f>
        <v>En proceso</v>
      </c>
      <c r="J36" s="160">
        <f t="shared" si="2"/>
        <v>0.5</v>
      </c>
      <c r="K36" s="161">
        <f t="shared" si="1"/>
        <v>0.7</v>
      </c>
    </row>
    <row r="37" spans="1:11" x14ac:dyDescent="0.25">
      <c r="A37" s="159" t="s">
        <v>182</v>
      </c>
      <c r="B37" s="159" t="s">
        <v>97</v>
      </c>
      <c r="C37" s="159" t="s">
        <v>178</v>
      </c>
      <c r="D37" s="159" t="s">
        <v>42</v>
      </c>
      <c r="E37" s="159" t="s">
        <v>100</v>
      </c>
      <c r="F37" s="159" t="str">
        <f>+VLOOKUP(A37,'Estado SCI'!$A$16:$I$59,9,0)</f>
        <v>Mantenimiento del control</v>
      </c>
      <c r="G37" s="159">
        <f>+VLOOKUP(A37,'Estado SCI'!$A$16:$L$59,12,0)</f>
        <v>120.85120000000001</v>
      </c>
      <c r="H37" s="159">
        <f t="shared" si="0"/>
        <v>40</v>
      </c>
      <c r="I37" s="159" t="str">
        <f>+IF(VLOOKUP(A37,'Estado SCI'!$A$16:$G$59,7,0)="","",VLOOKUP(A37,'Estado SCI'!$A$16:$G$59,7,0))</f>
        <v>Si</v>
      </c>
      <c r="J37" s="160">
        <f t="shared" si="2"/>
        <v>1</v>
      </c>
      <c r="K37" s="161">
        <f t="shared" si="1"/>
        <v>0.7</v>
      </c>
    </row>
    <row r="38" spans="1:11" x14ac:dyDescent="0.25">
      <c r="A38" s="159" t="s">
        <v>183</v>
      </c>
      <c r="B38" s="159" t="s">
        <v>97</v>
      </c>
      <c r="C38" s="159" t="s">
        <v>68</v>
      </c>
      <c r="D38" s="159" t="s">
        <v>46</v>
      </c>
      <c r="E38" s="159" t="s">
        <v>101</v>
      </c>
      <c r="F38" s="159" t="str">
        <f>+VLOOKUP(A38,'Estado SCI'!$A$16:$I$59,9,0)</f>
        <v>Oportunidad de mejora</v>
      </c>
      <c r="G38" s="159">
        <f>+VLOOKUP(A38,'Estado SCI'!$A$16:$L$59,12,0)</f>
        <v>100.85123</v>
      </c>
      <c r="H38" s="159">
        <f t="shared" si="0"/>
        <v>37</v>
      </c>
      <c r="I38" s="159" t="str">
        <f>+IF(VLOOKUP(A38,'Estado SCI'!$A$16:$G$59,7,0)="","",VLOOKUP(A38,'Estado SCI'!$A$16:$G$59,7,0))</f>
        <v>En proceso</v>
      </c>
      <c r="J38" s="160">
        <f t="shared" si="2"/>
        <v>0.5</v>
      </c>
      <c r="K38" s="161">
        <f t="shared" si="1"/>
        <v>0.7</v>
      </c>
    </row>
    <row r="39" spans="1:11" x14ac:dyDescent="0.25">
      <c r="A39" s="159" t="s">
        <v>184</v>
      </c>
      <c r="B39" s="159" t="s">
        <v>97</v>
      </c>
      <c r="C39" s="159" t="s">
        <v>68</v>
      </c>
      <c r="D39" s="159" t="s">
        <v>48</v>
      </c>
      <c r="E39" s="159" t="s">
        <v>102</v>
      </c>
      <c r="F39" s="159" t="str">
        <f>+VLOOKUP(A39,'Estado SCI'!$A$16:$I$59,9,0)</f>
        <v>Mantenimiento del control</v>
      </c>
      <c r="G39" s="159">
        <f>+VLOOKUP(A39,'Estado SCI'!$A$16:$L$59,12,0)</f>
        <v>120.85123400000001</v>
      </c>
      <c r="H39" s="159">
        <f t="shared" si="0"/>
        <v>41</v>
      </c>
      <c r="I39" s="159" t="str">
        <f>+IF(VLOOKUP(A39,'Estado SCI'!$A$16:$G$59,7,0)="","",VLOOKUP(A39,'Estado SCI'!$A$16:$G$59,7,0))</f>
        <v>Si</v>
      </c>
      <c r="J39" s="160">
        <f t="shared" si="2"/>
        <v>1</v>
      </c>
      <c r="K39" s="161">
        <f t="shared" si="1"/>
        <v>0.7</v>
      </c>
    </row>
    <row r="40" spans="1:11" x14ac:dyDescent="0.25">
      <c r="A40" s="159" t="s">
        <v>185</v>
      </c>
      <c r="B40" s="159" t="s">
        <v>97</v>
      </c>
      <c r="C40" s="159" t="s">
        <v>68</v>
      </c>
      <c r="D40" s="159" t="s">
        <v>50</v>
      </c>
      <c r="E40" s="159" t="s">
        <v>105</v>
      </c>
      <c r="F40" s="159" t="str">
        <f>+VLOOKUP(A40,'Estado SCI'!$A$16:$I$59,9,0)</f>
        <v>Deficiencia de control</v>
      </c>
      <c r="G40" s="159">
        <f>+VLOOKUP(A40,'Estado SCI'!$A$16:$L$59,12,0)</f>
        <v>80.851234500000004</v>
      </c>
      <c r="H40" s="159">
        <f t="shared" si="0"/>
        <v>35</v>
      </c>
      <c r="I40" s="159" t="str">
        <f>+IF(VLOOKUP(A40,'Estado SCI'!$A$16:$G$59,7,0)="","",VLOOKUP(A40,'Estado SCI'!$A$16:$G$59,7,0))</f>
        <v>No</v>
      </c>
      <c r="J40" s="160">
        <f t="shared" si="2"/>
        <v>0</v>
      </c>
      <c r="K40" s="161">
        <f t="shared" si="1"/>
        <v>0.7</v>
      </c>
    </row>
    <row r="41" spans="1:11" x14ac:dyDescent="0.25">
      <c r="A41" s="159" t="s">
        <v>186</v>
      </c>
      <c r="B41" s="159" t="s">
        <v>97</v>
      </c>
      <c r="C41" s="159" t="s">
        <v>68</v>
      </c>
      <c r="D41" s="159" t="s">
        <v>34</v>
      </c>
      <c r="E41" s="159" t="s">
        <v>108</v>
      </c>
      <c r="F41" s="159" t="str">
        <f>+VLOOKUP(A41,'Estado SCI'!$A$16:$I$59,9,0)</f>
        <v>Mantenimiento del control</v>
      </c>
      <c r="G41" s="159">
        <f>+VLOOKUP(A41,'Estado SCI'!$A$16:$L$59,12,0)</f>
        <v>120.85123455999999</v>
      </c>
      <c r="H41" s="159">
        <f t="shared" si="0"/>
        <v>42</v>
      </c>
      <c r="I41" s="159" t="str">
        <f>+IF(VLOOKUP(A41,'Estado SCI'!$A$16:$G$59,7,0)="","",VLOOKUP(A41,'Estado SCI'!$A$16:$G$59,7,0))</f>
        <v>Si</v>
      </c>
      <c r="J41" s="160">
        <f t="shared" si="2"/>
        <v>1</v>
      </c>
      <c r="K41" s="161">
        <f t="shared" si="1"/>
        <v>0.7</v>
      </c>
    </row>
    <row r="42" spans="1:11" x14ac:dyDescent="0.25">
      <c r="A42" s="159" t="s">
        <v>187</v>
      </c>
      <c r="B42" s="159" t="s">
        <v>97</v>
      </c>
      <c r="C42" s="159" t="s">
        <v>73</v>
      </c>
      <c r="D42" s="159" t="s">
        <v>37</v>
      </c>
      <c r="E42" s="159" t="s">
        <v>109</v>
      </c>
      <c r="F42" s="159" t="str">
        <f>+VLOOKUP(A42,'Estado SCI'!$A$16:$I$59,9,0)</f>
        <v>Mantenimiento del control</v>
      </c>
      <c r="G42" s="159">
        <f>+VLOOKUP(A42,'Estado SCI'!$A$16:$L$59,12,0)</f>
        <v>120.85123456700001</v>
      </c>
      <c r="H42" s="159">
        <f t="shared" si="0"/>
        <v>43</v>
      </c>
      <c r="I42" s="159" t="str">
        <f>+IF(VLOOKUP(A42,'Estado SCI'!$A$16:$G$59,7,0)="","",VLOOKUP(A42,'Estado SCI'!$A$16:$G$59,7,0))</f>
        <v>Si</v>
      </c>
      <c r="J42" s="160">
        <f t="shared" si="2"/>
        <v>1</v>
      </c>
      <c r="K42" s="161">
        <f t="shared" si="1"/>
        <v>0.7</v>
      </c>
    </row>
    <row r="43" spans="1:11" x14ac:dyDescent="0.25">
      <c r="A43" s="159" t="s">
        <v>188</v>
      </c>
      <c r="B43" s="159" t="s">
        <v>97</v>
      </c>
      <c r="C43" s="159" t="s">
        <v>73</v>
      </c>
      <c r="D43" s="159" t="s">
        <v>40</v>
      </c>
      <c r="E43" s="159" t="s">
        <v>110</v>
      </c>
      <c r="F43" s="159" t="str">
        <f>+VLOOKUP(A43,'Estado SCI'!$A$16:$I$59,9,0)</f>
        <v>Oportunidad de mejora</v>
      </c>
      <c r="G43" s="159">
        <f>+VLOOKUP(A43,'Estado SCI'!$A$16:$L$59,12,0)</f>
        <v>100.85123456780001</v>
      </c>
      <c r="H43" s="159">
        <f t="shared" si="0"/>
        <v>38</v>
      </c>
      <c r="I43" s="159" t="str">
        <f>+IF(VLOOKUP(A43,'Estado SCI'!$A$16:$G$59,7,0)="","",VLOOKUP(A43,'Estado SCI'!$A$16:$G$59,7,0))</f>
        <v>En proceso</v>
      </c>
      <c r="J43" s="160">
        <f t="shared" si="2"/>
        <v>0.5</v>
      </c>
      <c r="K43" s="161">
        <f t="shared" si="1"/>
        <v>0.7</v>
      </c>
    </row>
    <row r="44" spans="1:11" x14ac:dyDescent="0.25">
      <c r="A44" s="159" t="s">
        <v>189</v>
      </c>
      <c r="B44" s="159" t="s">
        <v>97</v>
      </c>
      <c r="C44" s="159" t="s">
        <v>73</v>
      </c>
      <c r="D44" s="159" t="s">
        <v>42</v>
      </c>
      <c r="E44" s="159" t="s">
        <v>111</v>
      </c>
      <c r="F44" s="159" t="str">
        <f>+VLOOKUP(A44,'Estado SCI'!$A$16:$I$59,9,0)</f>
        <v>Oportunidad de mejora</v>
      </c>
      <c r="G44" s="159">
        <f>+VLOOKUP(A44,'Estado SCI'!$A$16:$L$59,12,0)</f>
        <v>100.85123456789</v>
      </c>
      <c r="H44" s="159">
        <f t="shared" si="0"/>
        <v>39</v>
      </c>
      <c r="I44" s="159" t="str">
        <f>+IF(VLOOKUP(A44,'Estado SCI'!$A$16:$G$59,7,0)="","",VLOOKUP(A44,'Estado SCI'!$A$16:$G$59,7,0))</f>
        <v>En proceso</v>
      </c>
      <c r="J44" s="160">
        <f t="shared" si="2"/>
        <v>0.5</v>
      </c>
      <c r="K44" s="161">
        <f t="shared" si="1"/>
        <v>0.7</v>
      </c>
    </row>
    <row r="45" spans="1:11" x14ac:dyDescent="0.25">
      <c r="A45" s="159" t="s">
        <v>190</v>
      </c>
      <c r="B45" s="159" t="s">
        <v>97</v>
      </c>
      <c r="C45" s="159" t="s">
        <v>73</v>
      </c>
      <c r="D45" s="159" t="s">
        <v>44</v>
      </c>
      <c r="E45" s="159" t="s">
        <v>112</v>
      </c>
      <c r="F45" s="159" t="str">
        <f>+VLOOKUP(A45,'Estado SCI'!$A$16:$I$59,9,0)</f>
        <v>Mantenimiento del control</v>
      </c>
      <c r="G45" s="159">
        <f>+VLOOKUP(A45,'Estado SCI'!$A$16:$L$59,12,0)</f>
        <v>120.851234567891</v>
      </c>
      <c r="H45" s="159">
        <f t="shared" si="0"/>
        <v>44</v>
      </c>
      <c r="I45" s="159" t="str">
        <f>+IF(VLOOKUP(A45,'Estado SCI'!$A$16:$G$59,7,0)="","",VLOOKUP(A45,'Estado SCI'!$A$16:$G$59,7,0))</f>
        <v>Si</v>
      </c>
      <c r="J45" s="160">
        <f t="shared" si="2"/>
        <v>1</v>
      </c>
      <c r="K45" s="161">
        <f t="shared" si="1"/>
        <v>0.7</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HIGIENE ORAL</cp:lastModifiedBy>
  <cp:revision/>
  <dcterms:created xsi:type="dcterms:W3CDTF">2020-04-28T13:58:09Z</dcterms:created>
  <dcterms:modified xsi:type="dcterms:W3CDTF">2021-01-26T17:26:09Z</dcterms:modified>
  <cp:category/>
  <cp:contentStatus/>
</cp:coreProperties>
</file>